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650" activeTab="0"/>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A12" authorId="0">
      <text>
        <r>
          <rPr>
            <sz val="10"/>
            <rFont val="Arial"/>
            <family val="0"/>
          </rPr>
          <t>Ô chỉ tiêu có định dạng số. Đơn vị tính x 1 (hoặc %)
Dữ liệu động đầu vào hợp lệ khi chỉ được thêm dòng trên ô này.</t>
        </r>
      </text>
    </comment>
    <comment ref="B12"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
Dữ liệu động đầu vào hợp lệ khi chỉ được thêm dòng trên ô này.</t>
        </r>
      </text>
    </comment>
    <comment ref="E12" authorId="0">
      <text>
        <r>
          <rPr>
            <sz val="10"/>
            <rFont val="Arial"/>
            <family val="0"/>
          </rPr>
          <t>Ô chỉ tiêu có định dạng số. Đơn vị tính x 1 (hoặc %)
Dữ liệu động đầu vào hợp lệ khi chỉ được thêm dòng trên ô này.</t>
        </r>
      </text>
    </comment>
    <comment ref="F12"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F13" authorId="0">
      <text>
        <r>
          <rPr>
            <sz val="10"/>
            <rFont val="Arial"/>
            <family val="0"/>
          </rPr>
          <t>Ô chỉ tiêu có định dạng số. Đơn vị tính x 1 (hoặc %)</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số. Đơn vị tính x 1 (hoặc %)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A20" authorId="0">
      <text>
        <r>
          <rPr>
            <sz val="10"/>
            <rFont val="Arial"/>
            <family val="0"/>
          </rPr>
          <t>Ô chỉ tiêu có định dạng số. Đơn vị tính x 1 (hoặc %)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ký tự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A25" authorId="0">
      <text>
        <r>
          <rPr>
            <sz val="10"/>
            <rFont val="Arial"/>
            <family val="0"/>
          </rPr>
          <t>Ô chỉ tiêu có định dạng số. Đơn vị tính x 1 (hoặc %)
Dữ liệu động đầu vào hợp lệ khi chỉ được thêm dòng trên ô này.</t>
        </r>
      </text>
    </comment>
    <comment ref="B25" authorId="0">
      <text>
        <r>
          <rPr>
            <sz val="10"/>
            <rFont val="Arial"/>
            <family val="0"/>
          </rPr>
          <t>Ô chỉ tiêu có định dạng ký tự
Dữ liệu động đầu vào hợp lệ khi chỉ được thêm dòng trên ô này.</t>
        </r>
      </text>
    </comment>
    <comment ref="C25" authorId="0">
      <text>
        <r>
          <rPr>
            <sz val="10"/>
            <rFont val="Arial"/>
            <family val="0"/>
          </rPr>
          <t>Ô chỉ tiêu có định dạng số. Đơn vị tính x 1 (hoặc %)
Dữ liệu động đầu vào hợp lệ khi chỉ được thêm dòng trên ô này.</t>
        </r>
      </text>
    </comment>
    <comment ref="D25" authorId="0">
      <text>
        <r>
          <rPr>
            <sz val="10"/>
            <rFont val="Arial"/>
            <family val="0"/>
          </rPr>
          <t>Ô chỉ tiêu có định dạng số. Đơn vị tính x 1 (hoặc %)
Dữ liệu động đầu vào hợp lệ khi chỉ được thêm dòng trên ô này.</t>
        </r>
      </text>
    </comment>
    <comment ref="E25" authorId="0">
      <text>
        <r>
          <rPr>
            <sz val="10"/>
            <rFont val="Arial"/>
            <family val="0"/>
          </rPr>
          <t>Ô chỉ tiêu có định dạng số. Đơn vị tính x 1 (hoặc %)
Dữ liệu động đầu vào hợp lệ khi chỉ được thêm dòng trên ô này.</t>
        </r>
      </text>
    </comment>
    <comment ref="F25"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F26" authorId="0">
      <text>
        <r>
          <rPr>
            <sz val="10"/>
            <rFont val="Arial"/>
            <family val="0"/>
          </rPr>
          <t>Ô chỉ tiêu có định dạng số. Đơn vị tính x 1 (hoặc %)</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D34"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t>
        </r>
      </text>
    </comment>
    <comment ref="F34" authorId="0">
      <text>
        <r>
          <rPr>
            <sz val="10"/>
            <rFont val="Arial"/>
            <family val="0"/>
          </rPr>
          <t>Ô chỉ tiêu có định dạng số. Đơn vị tính x 1 (hoặc %)</t>
        </r>
      </text>
    </comment>
    <comment ref="A36" authorId="0">
      <text>
        <r>
          <rPr>
            <sz val="10"/>
            <rFont val="Arial"/>
            <family val="0"/>
          </rPr>
          <t>Ô chỉ tiêu có định dạng ký tự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ký tự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A38" authorId="0">
      <text>
        <r>
          <rPr>
            <sz val="10"/>
            <rFont val="Arial"/>
            <family val="0"/>
          </rPr>
          <t>Ô chỉ tiêu có định dạng số. Đơn vị tính x 1 (hoặc %)
Dữ liệu động đầu vào hợp lệ khi chỉ được thêm dòng trên ô này.</t>
        </r>
      </text>
    </comment>
    <comment ref="B38" authorId="0">
      <text>
        <r>
          <rPr>
            <sz val="10"/>
            <rFont val="Arial"/>
            <family val="0"/>
          </rPr>
          <t>Ô chỉ tiêu có định dạng ký tự
Dữ liệu động đầu vào hợp lệ khi chỉ được thêm dòng trên ô này.</t>
        </r>
      </text>
    </comment>
    <comment ref="C38"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
Dữ liệu động đầu vào hợp lệ khi chỉ được thêm dòng trên ô này.</t>
        </r>
      </text>
    </comment>
    <comment ref="E38" authorId="0">
      <text>
        <r>
          <rPr>
            <sz val="10"/>
            <rFont val="Arial"/>
            <family val="0"/>
          </rPr>
          <t>Ô chỉ tiêu có định dạng số. Đơn vị tính x 1 (hoặc %)
Dữ liệu động đầu vào hợp lệ khi chỉ được thêm dòng trên ô này.</t>
        </r>
      </text>
    </comment>
    <comment ref="F38"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A57" authorId="0">
      <text>
        <r>
          <rPr>
            <sz val="10"/>
            <rFont val="Arial"/>
            <family val="0"/>
          </rPr>
          <t>Ô chỉ tiêu có định dạng số. Đơn vị tính x 1 (hoặc %)
Dữ liệu động đầu vào hợp lệ khi chỉ được thêm dòng trên ô này.</t>
        </r>
      </text>
    </comment>
    <comment ref="B57" authorId="0">
      <text>
        <r>
          <rPr>
            <sz val="10"/>
            <rFont val="Arial"/>
            <family val="0"/>
          </rPr>
          <t>Ô chỉ tiêu có định dạng ký tự
Dữ liệu động đầu vào hợp lệ khi chỉ được thêm dòng trên ô này.</t>
        </r>
      </text>
    </comment>
    <comment ref="C57" authorId="0">
      <text>
        <r>
          <rPr>
            <sz val="10"/>
            <rFont val="Arial"/>
            <family val="0"/>
          </rPr>
          <t>Ô chỉ tiêu có định dạng số. Đơn vị tính x 1 (hoặc %)
Dữ liệu động đầu vào hợp lệ khi chỉ được thêm dòng trên ô này.</t>
        </r>
      </text>
    </comment>
    <comment ref="D57" authorId="0">
      <text>
        <r>
          <rPr>
            <sz val="10"/>
            <rFont val="Arial"/>
            <family val="0"/>
          </rPr>
          <t>Ô chỉ tiêu có định dạng số. Đơn vị tính x 1 (hoặc %)
Dữ liệu động đầu vào hợp lệ khi chỉ được thêm dòng trên ô này.</t>
        </r>
      </text>
    </comment>
    <comment ref="E57" authorId="0">
      <text>
        <r>
          <rPr>
            <sz val="10"/>
            <rFont val="Arial"/>
            <family val="0"/>
          </rPr>
          <t>Ô chỉ tiêu có định dạng số. Đơn vị tính x 1 (hoặc %)
Dữ liệu động đầu vào hợp lệ khi chỉ được thêm dòng trên ô này.</t>
        </r>
      </text>
    </comment>
    <comment ref="F57" authorId="0">
      <text>
        <r>
          <rPr>
            <sz val="10"/>
            <rFont val="Arial"/>
            <family val="0"/>
          </rPr>
          <t>Ô chỉ tiêu có định dạng số. Đơn vị tính x 1 (hoặc %)
Dữ liệu động đầu vào hợp lệ khi chỉ được thêm dòng trên ô này.</t>
        </r>
      </text>
    </comment>
    <comment ref="D58" authorId="0">
      <text>
        <r>
          <rPr>
            <sz val="10"/>
            <rFont val="Arial"/>
            <family val="0"/>
          </rPr>
          <t>Ô chỉ tiêu có định dạng số. Đơn vị tính x 1 (hoặc %)</t>
        </r>
      </text>
    </comment>
    <comment ref="E58" authorId="0">
      <text>
        <r>
          <rPr>
            <sz val="10"/>
            <rFont val="Arial"/>
            <family val="0"/>
          </rPr>
          <t>Ô chỉ tiêu có định dạng số. Đơn vị tính x 1 (hoặc %)</t>
        </r>
      </text>
    </comment>
    <comment ref="F58" authorId="0">
      <text>
        <r>
          <rPr>
            <sz val="10"/>
            <rFont val="Arial"/>
            <family val="0"/>
          </rPr>
          <t>Ô chỉ tiêu có định dạng số. Đơn vị tính x 1 (hoặc %)</t>
        </r>
      </text>
    </comment>
    <comment ref="D59" authorId="0">
      <text>
        <r>
          <rPr>
            <sz val="10"/>
            <rFont val="Arial"/>
            <family val="0"/>
          </rPr>
          <t>Ô chỉ tiêu có định dạng số. Đơn vị tính x 1 (hoặc %)</t>
        </r>
      </text>
    </comment>
    <comment ref="E59" authorId="0">
      <text>
        <r>
          <rPr>
            <sz val="10"/>
            <rFont val="Arial"/>
            <family val="0"/>
          </rPr>
          <t>Ô chỉ tiêu có định dạng số. Đơn vị tính x 1 (hoặc %)</t>
        </r>
      </text>
    </comment>
    <comment ref="F59" authorId="0">
      <text>
        <r>
          <rPr>
            <sz val="10"/>
            <rFont val="Arial"/>
            <family val="0"/>
          </rPr>
          <t>Ô chỉ tiêu có định dạng số. Đơn vị tính x 1 (hoặc %)</t>
        </r>
      </text>
    </comment>
    <comment ref="D60" authorId="0">
      <text>
        <r>
          <rPr>
            <sz val="10"/>
            <rFont val="Arial"/>
            <family val="0"/>
          </rPr>
          <t>Ô chỉ tiêu có định dạng số. Đơn vị tính x 1 (hoặc %)</t>
        </r>
      </text>
    </comment>
    <comment ref="E60" authorId="0">
      <text>
        <r>
          <rPr>
            <sz val="10"/>
            <rFont val="Arial"/>
            <family val="0"/>
          </rPr>
          <t>Ô chỉ tiêu có định dạng số. Đơn vị tính x 1 (hoặc %)</t>
        </r>
      </text>
    </comment>
    <comment ref="F60" authorId="0">
      <text>
        <r>
          <rPr>
            <sz val="10"/>
            <rFont val="Arial"/>
            <family val="0"/>
          </rPr>
          <t>Ô chỉ tiêu có định dạng số. Đơn vị tính x 1 (hoặc %)</t>
        </r>
      </text>
    </comment>
    <comment ref="D61" authorId="0">
      <text>
        <r>
          <rPr>
            <sz val="10"/>
            <rFont val="Arial"/>
            <family val="0"/>
          </rPr>
          <t>Ô chỉ tiêu có định dạng số. Đơn vị tính x 1 (hoặc %)</t>
        </r>
      </text>
    </comment>
    <comment ref="E61" authorId="0">
      <text>
        <r>
          <rPr>
            <sz val="10"/>
            <rFont val="Arial"/>
            <family val="0"/>
          </rPr>
          <t>Ô chỉ tiêu có định dạng số. Đơn vị tính x 1 (hoặc %)</t>
        </r>
      </text>
    </comment>
    <comment ref="F61"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A7" authorId="0">
      <text>
        <r>
          <rPr>
            <sz val="10"/>
            <rFont val="Arial"/>
            <family val="0"/>
          </rPr>
          <t>Ô chỉ tiêu có định dạng ký tự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ký tự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A28" authorId="0">
      <text>
        <r>
          <rPr>
            <sz val="10"/>
            <rFont val="Arial"/>
            <family val="0"/>
          </rPr>
          <t>Ô chỉ tiêu có định dạng ký tự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ký tự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A30" authorId="0">
      <text>
        <r>
          <rPr>
            <sz val="10"/>
            <rFont val="Arial"/>
            <family val="0"/>
          </rPr>
          <t>Ô chỉ tiêu có định dạng ký tự
Dữ liệu động đầu vào hợp lệ khi chỉ được thêm dòng trên ô này.</t>
        </r>
      </text>
    </comment>
    <comment ref="B30" authorId="0">
      <text>
        <r>
          <rPr>
            <sz val="10"/>
            <rFont val="Arial"/>
            <family val="0"/>
          </rPr>
          <t>Ô chỉ tiêu có định dạng ký tự
Dữ liệu động đầu vào hợp lệ khi chỉ được thêm dòng trên ô này.</t>
        </r>
      </text>
    </comment>
    <comment ref="C30" authorId="0">
      <text>
        <r>
          <rPr>
            <sz val="10"/>
            <rFont val="Arial"/>
            <family val="0"/>
          </rPr>
          <t>Ô chỉ tiêu có định dạng ký tự
Dữ liệu động đầu vào hợp lệ khi chỉ được thêm dòng trên ô này.</t>
        </r>
      </text>
    </comment>
    <comment ref="A32" authorId="0">
      <text>
        <r>
          <rPr>
            <sz val="10"/>
            <rFont val="Arial"/>
            <family val="0"/>
          </rPr>
          <t>Ô chỉ tiêu có định dạng số. Đơn vị tính x 1 (hoặc %)
Dữ liệu động đầu vào hợp lệ khi chỉ được thêm dòng trên ô này.</t>
        </r>
      </text>
    </comment>
    <comment ref="B32" authorId="0">
      <text>
        <r>
          <rPr>
            <sz val="10"/>
            <rFont val="Arial"/>
            <family val="0"/>
          </rPr>
          <t>Ô chỉ tiêu có định dạng ký tự
Dữ liệu động đầu vào hợp lệ khi chỉ được thêm dòng trên ô này.</t>
        </r>
      </text>
    </comment>
    <comment ref="C32"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
Dữ liệu động đầu vào hợp lệ khi chỉ được thêm dòng trên ô này.</t>
        </r>
      </text>
    </comment>
    <comment ref="E32" authorId="0">
      <text>
        <r>
          <rPr>
            <sz val="10"/>
            <rFont val="Arial"/>
            <family val="0"/>
          </rPr>
          <t>Ô chỉ tiêu có định dạng số. Đơn vị tính x 1 (hoặc %)
Dữ liệu động đầu vào hợp lệ khi chỉ được thêm dòng trên ô này.</t>
        </r>
      </text>
    </comment>
    <comment ref="F32" authorId="0">
      <text>
        <r>
          <rPr>
            <sz val="10"/>
            <rFont val="Arial"/>
            <family val="0"/>
          </rPr>
          <t>Ô chỉ tiêu có định dạng số. Đơn vị tính x 1 (hoặc %)
Dữ liệu động đầu vào hợp lệ khi chỉ được thêm dòng trên ô này.</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A35" authorId="0">
      <text>
        <r>
          <rPr>
            <sz val="10"/>
            <rFont val="Arial"/>
            <family val="0"/>
          </rPr>
          <t>Ô chỉ tiêu có định dạng số. Đơn vị tính x 1 (hoặc %)
Dữ liệu động đầu vào hợp lệ khi chỉ được thêm dòng trên ô này.</t>
        </r>
      </text>
    </comment>
    <comment ref="B35" authorId="0">
      <text>
        <r>
          <rPr>
            <sz val="10"/>
            <rFont val="Arial"/>
            <family val="0"/>
          </rPr>
          <t>Ô chỉ tiêu có định dạng ký tự
Dữ liệu động đầu vào hợp lệ khi chỉ được thêm dòng trên ô này.</t>
        </r>
      </text>
    </comment>
    <comment ref="C35"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
Dữ liệu động đầu vào hợp lệ khi chỉ được thêm dòng trên ô này.</t>
        </r>
      </text>
    </comment>
    <comment ref="E35" authorId="0">
      <text>
        <r>
          <rPr>
            <sz val="10"/>
            <rFont val="Arial"/>
            <family val="0"/>
          </rPr>
          <t>Ô chỉ tiêu có định dạng số. Đơn vị tính x 1 (hoặc %)
Dữ liệu động đầu vào hợp lệ khi chỉ được thêm dòng trên ô này.</t>
        </r>
      </text>
    </comment>
    <comment ref="F35" authorId="0">
      <text>
        <r>
          <rPr>
            <sz val="10"/>
            <rFont val="Arial"/>
            <family val="0"/>
          </rPr>
          <t>Ô chỉ tiêu có định dạng số. Đơn vị tính x 1 (hoặc %)
Dữ liệu động đầu vào hợp lệ khi chỉ được thêm dòng trên ô này.</t>
        </r>
      </text>
    </comment>
    <comment ref="A40" authorId="0">
      <text>
        <r>
          <rPr>
            <sz val="10"/>
            <rFont val="Arial"/>
            <family val="0"/>
          </rPr>
          <t>Ô chỉ tiêu có định dạng số. Đơn vị tính x 1 (hoặc %)
Dữ liệu động đầu vào hợp lệ khi chỉ được thêm dòng trên ô này.</t>
        </r>
      </text>
    </comment>
    <comment ref="B40" authorId="0">
      <text>
        <r>
          <rPr>
            <sz val="10"/>
            <rFont val="Arial"/>
            <family val="0"/>
          </rPr>
          <t>Ô chỉ tiêu có định dạng ký tự
Dữ liệu động đầu vào hợp lệ khi chỉ được thêm dòng trên ô này.</t>
        </r>
      </text>
    </comment>
    <comment ref="C40"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
Dữ liệu động đầu vào hợp lệ khi chỉ được thêm dòng trên ô này.</t>
        </r>
      </text>
    </comment>
    <comment ref="E40" authorId="0">
      <text>
        <r>
          <rPr>
            <sz val="10"/>
            <rFont val="Arial"/>
            <family val="0"/>
          </rPr>
          <t>Ô chỉ tiêu có định dạng số. Đơn vị tính x 1 (hoặc %)
Dữ liệu động đầu vào hợp lệ khi chỉ được thêm dòng trên ô này.</t>
        </r>
      </text>
    </comment>
    <comment ref="F40" authorId="0">
      <text>
        <r>
          <rPr>
            <sz val="10"/>
            <rFont val="Arial"/>
            <family val="0"/>
          </rPr>
          <t>Ô chỉ tiêu có định dạng số. Đơn vị tính x 1 (hoặc %)
Dữ liệu động đầu vào hợp lệ khi chỉ được thêm dòng trên ô này.</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A45" authorId="0">
      <text>
        <r>
          <rPr>
            <sz val="10"/>
            <rFont val="Arial"/>
            <family val="0"/>
          </rPr>
          <t>Ô chỉ tiêu có định dạng số. Đơn vị tính x 1 (hoặc %)
Dữ liệu động đầu vào hợp lệ khi chỉ được thêm dòng trên ô này.</t>
        </r>
      </text>
    </comment>
    <comment ref="B45" authorId="0">
      <text>
        <r>
          <rPr>
            <sz val="10"/>
            <rFont val="Arial"/>
            <family val="0"/>
          </rPr>
          <t>Ô chỉ tiêu có định dạng ký tự
Dữ liệu động đầu vào hợp lệ khi chỉ được thêm dòng trên ô này.</t>
        </r>
      </text>
    </comment>
    <comment ref="C45" authorId="0">
      <text>
        <r>
          <rPr>
            <sz val="10"/>
            <rFont val="Arial"/>
            <family val="0"/>
          </rPr>
          <t>Ô chỉ tiêu có định dạng số. Đơn vị tính x 1 (hoặc %)
Dữ liệu động đầu vào hợp lệ khi chỉ được thêm dòng trên ô này.</t>
        </r>
      </text>
    </comment>
    <comment ref="D45" authorId="0">
      <text>
        <r>
          <rPr>
            <sz val="10"/>
            <rFont val="Arial"/>
            <family val="0"/>
          </rPr>
          <t>Ô chỉ tiêu có định dạng số. Đơn vị tính x 1 (hoặc %)
Dữ liệu động đầu vào hợp lệ khi chỉ được thêm dòng trên ô này.</t>
        </r>
      </text>
    </comment>
    <comment ref="E45" authorId="0">
      <text>
        <r>
          <rPr>
            <sz val="10"/>
            <rFont val="Arial"/>
            <family val="0"/>
          </rPr>
          <t>Ô chỉ tiêu có định dạng số. Đơn vị tính x 1 (hoặc %)
Dữ liệu động đầu vào hợp lệ khi chỉ được thêm dòng trên ô này.</t>
        </r>
      </text>
    </comment>
    <comment ref="F45" authorId="0">
      <text>
        <r>
          <rPr>
            <sz val="10"/>
            <rFont val="Arial"/>
            <family val="0"/>
          </rPr>
          <t>Ô chỉ tiêu có định dạng số. Đơn vị tính x 1 (hoặc %)
Dữ liệu động đầu vào hợp lệ khi chỉ được thêm dòng trên ô này.</t>
        </r>
      </text>
    </comment>
    <comment ref="D46"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E48" authorId="0">
      <text>
        <r>
          <rPr>
            <sz val="10"/>
            <rFont val="Arial"/>
            <family val="0"/>
          </rPr>
          <t>Ô chỉ tiêu có định dạng số. Đơn vị tính x 1 (hoặc %)</t>
        </r>
      </text>
    </comment>
    <comment ref="F48" authorId="0">
      <text>
        <r>
          <rPr>
            <sz val="10"/>
            <rFont val="Arial"/>
            <family val="0"/>
          </rPr>
          <t>Ô chỉ tiêu có định dạng số. Đơn vị tính x 1 (hoặc %)</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 ref="D51" authorId="0">
      <text>
        <r>
          <rPr>
            <sz val="10"/>
            <rFont val="Arial"/>
            <family val="0"/>
          </rPr>
          <t>Ô chỉ tiêu có định dạng số. Đơn vị tính x 1 (hoặc %)</t>
        </r>
      </text>
    </comment>
    <comment ref="E51" authorId="0">
      <text>
        <r>
          <rPr>
            <sz val="10"/>
            <rFont val="Arial"/>
            <family val="0"/>
          </rPr>
          <t>Ô chỉ tiêu có định dạng số. Đơn vị tính x 1 (hoặc %)</t>
        </r>
      </text>
    </comment>
    <comment ref="F51" authorId="0">
      <text>
        <r>
          <rPr>
            <sz val="10"/>
            <rFont val="Arial"/>
            <family val="0"/>
          </rPr>
          <t>Ô chỉ tiêu có định dạng số. Đơn vị tính x 1 (hoặc %)</t>
        </r>
      </text>
    </comment>
    <comment ref="D52" authorId="0">
      <text>
        <r>
          <rPr>
            <sz val="10"/>
            <rFont val="Arial"/>
            <family val="0"/>
          </rPr>
          <t>Ô chỉ tiêu có định dạng số. Đơn vị tính x 1 (hoặc %)</t>
        </r>
      </text>
    </comment>
    <comment ref="E52" authorId="0">
      <text>
        <r>
          <rPr>
            <sz val="10"/>
            <rFont val="Arial"/>
            <family val="0"/>
          </rPr>
          <t>Ô chỉ tiêu có định dạng số. Đơn vị tính x 1 (hoặc %)</t>
        </r>
      </text>
    </comment>
    <comment ref="F52" authorId="0">
      <text>
        <r>
          <rPr>
            <sz val="10"/>
            <rFont val="Arial"/>
            <family val="0"/>
          </rPr>
          <t>Ô chỉ tiêu có định dạng số. Đơn vị tính x 1 (hoặc %)</t>
        </r>
      </text>
    </comment>
    <comment ref="D53" authorId="0">
      <text>
        <r>
          <rPr>
            <sz val="10"/>
            <rFont val="Arial"/>
            <family val="0"/>
          </rPr>
          <t>Ô chỉ tiêu có định dạng số. Đơn vị tính x 1 (hoặc %)</t>
        </r>
      </text>
    </comment>
    <comment ref="E53" authorId="0">
      <text>
        <r>
          <rPr>
            <sz val="10"/>
            <rFont val="Arial"/>
            <family val="0"/>
          </rPr>
          <t>Ô chỉ tiêu có định dạng số. Đơn vị tính x 1 (hoặc %)</t>
        </r>
      </text>
    </comment>
    <comment ref="F53" authorId="0">
      <text>
        <r>
          <rPr>
            <sz val="10"/>
            <rFont val="Arial"/>
            <family val="0"/>
          </rPr>
          <t>Ô chỉ tiêu có định dạng số. Đơn vị tính x 1 (hoặc %)</t>
        </r>
      </text>
    </comment>
    <comment ref="D54" authorId="0">
      <text>
        <r>
          <rPr>
            <sz val="10"/>
            <rFont val="Arial"/>
            <family val="0"/>
          </rPr>
          <t>Ô chỉ tiêu có định dạng số. Đơn vị tính x 1 (hoặc %)</t>
        </r>
      </text>
    </comment>
    <comment ref="E54" authorId="0">
      <text>
        <r>
          <rPr>
            <sz val="10"/>
            <rFont val="Arial"/>
            <family val="0"/>
          </rPr>
          <t>Ô chỉ tiêu có định dạng số. Đơn vị tính x 1 (hoặc %)</t>
        </r>
      </text>
    </comment>
    <comment ref="F54" authorId="0">
      <text>
        <r>
          <rPr>
            <sz val="10"/>
            <rFont val="Arial"/>
            <family val="0"/>
          </rPr>
          <t>Ô chỉ tiêu có định dạng số. Đơn vị tính x 1 (hoặc %)</t>
        </r>
      </text>
    </comment>
    <comment ref="D55" authorId="0">
      <text>
        <r>
          <rPr>
            <sz val="10"/>
            <rFont val="Arial"/>
            <family val="0"/>
          </rPr>
          <t>Ô chỉ tiêu có định dạng số. Đơn vị tính x 1 (hoặc %)</t>
        </r>
      </text>
    </comment>
    <comment ref="F55" authorId="0">
      <text>
        <r>
          <rPr>
            <sz val="10"/>
            <rFont val="Arial"/>
            <family val="0"/>
          </rPr>
          <t>Ô chỉ tiêu có định dạng số. Đơn vị tính x 1 (hoặc %)</t>
        </r>
      </text>
    </comment>
    <comment ref="D56" authorId="0">
      <text>
        <r>
          <rPr>
            <sz val="10"/>
            <rFont val="Arial"/>
            <family val="0"/>
          </rPr>
          <t>Ô chỉ tiêu có định dạng số. Đơn vị tính x 1 (hoặc %)</t>
        </r>
      </text>
    </comment>
    <comment ref="E56" authorId="0">
      <text>
        <r>
          <rPr>
            <sz val="10"/>
            <rFont val="Arial"/>
            <family val="0"/>
          </rPr>
          <t>Ô chỉ tiêu có định dạng số. Đơn vị tính x 1 (hoặc %)</t>
        </r>
      </text>
    </comment>
    <comment ref="F56" authorId="0">
      <text>
        <r>
          <rPr>
            <sz val="10"/>
            <rFont val="Arial"/>
            <family val="0"/>
          </rPr>
          <t>Ô chỉ tiêu có định dạng số. Đơn vị tính x 1 (hoặc %)</t>
        </r>
      </text>
    </comment>
    <comment ref="D57" authorId="0">
      <text>
        <r>
          <rPr>
            <sz val="10"/>
            <rFont val="Arial"/>
            <family val="0"/>
          </rPr>
          <t>Ô chỉ tiêu có định dạng số. Đơn vị tính x 1 (hoặc %)</t>
        </r>
      </text>
    </comment>
    <comment ref="E57" authorId="0">
      <text>
        <r>
          <rPr>
            <sz val="10"/>
            <rFont val="Arial"/>
            <family val="0"/>
          </rPr>
          <t>Ô chỉ tiêu có định dạng số. Đơn vị tính x 1 (hoặc %)</t>
        </r>
      </text>
    </comment>
    <comment ref="F57" authorId="0">
      <text>
        <r>
          <rPr>
            <sz val="10"/>
            <rFont val="Arial"/>
            <family val="0"/>
          </rPr>
          <t>Ô chỉ tiêu có định dạng số. Đơn vị tính x 1 (hoặc %)</t>
        </r>
      </text>
    </comment>
    <comment ref="D58" authorId="0">
      <text>
        <r>
          <rPr>
            <sz val="10"/>
            <rFont val="Arial"/>
            <family val="0"/>
          </rPr>
          <t>Ô chỉ tiêu có định dạng số. Đơn vị tính x 1 (hoặc %)</t>
        </r>
      </text>
    </comment>
    <comment ref="E58" authorId="0">
      <text>
        <r>
          <rPr>
            <sz val="10"/>
            <rFont val="Arial"/>
            <family val="0"/>
          </rPr>
          <t>Ô chỉ tiêu có định dạng số. Đơn vị tính x 1 (hoặc %)</t>
        </r>
      </text>
    </comment>
    <comment ref="F58" authorId="0">
      <text>
        <r>
          <rPr>
            <sz val="10"/>
            <rFont val="Arial"/>
            <family val="0"/>
          </rPr>
          <t>Ô chỉ tiêu có định dạng số. Đơn vị tính x 1 (hoặc %)</t>
        </r>
      </text>
    </comment>
    <comment ref="E55" authorId="0">
      <text>
        <r>
          <rPr>
            <sz val="10"/>
            <rFont val="Arial"/>
            <family val="0"/>
          </rPr>
          <t>Ô chỉ tiêu có định dạng số. Đơn vị tính x 1 (hoặc %)</t>
        </r>
      </text>
    </comment>
    <comment ref="D30" authorId="0">
      <text>
        <r>
          <rPr>
            <sz val="10"/>
            <rFont val="Arial"/>
            <family val="2"/>
          </rPr>
          <t>Ô chỉ tiêu có định dạng số. Đơn vị tính x 1 (hoặc %)
Dữ liệu động đầu vào hợp lệ khi chỉ được thêm dòng trên ô này.</t>
        </r>
      </text>
    </comment>
    <comment ref="E30" authorId="0">
      <text>
        <r>
          <rPr>
            <sz val="10"/>
            <rFont val="Arial"/>
            <family val="2"/>
          </rPr>
          <t>Ô chỉ tiêu có định dạng số. Đơn vị tính x 1 (hoặc %)
Dữ liệu động đầu vào hợp lệ khi chỉ được thêm dòng trên ô này.</t>
        </r>
      </text>
    </comment>
    <comment ref="F30" authorId="0">
      <text>
        <r>
          <rPr>
            <sz val="10"/>
            <rFont val="Arial"/>
            <family val="2"/>
          </rPr>
          <t>Ô chỉ tiêu có định dạng số. Đơn vị tính x 1 (hoặc %)
Dữ liệu động đầu vào hợp lệ khi chỉ được thêm dòng trên ô này.</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7" authorId="0">
      <text>
        <r>
          <rPr>
            <sz val="10"/>
            <rFont val="Arial"/>
            <family val="0"/>
          </rPr>
          <t>Ô chỉ tiêu có định dạng số. Đơn vị tính x 1 (hoặc %)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số. Đơn vị tính x 1 (hoặc %)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G7"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G8" authorId="0">
      <text>
        <r>
          <rPr>
            <sz val="10"/>
            <rFont val="Arial"/>
            <family val="0"/>
          </rPr>
          <t>Ô chỉ tiêu có định dạng số. Đơn vị tính x 1 (hoặc %)</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G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số. Đơn vị tính x 1 (hoặc %)</t>
        </r>
      </text>
    </comment>
    <comment ref="A21" authorId="0">
      <text>
        <r>
          <rPr>
            <sz val="10"/>
            <rFont val="Arial"/>
            <family val="0"/>
          </rPr>
          <t>Ô chỉ tiêu có định dạng số. Đơn vị tính x 1 (hoặc %)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E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G21"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F23" authorId="0">
      <text>
        <r>
          <rPr>
            <sz val="10"/>
            <rFont val="Arial"/>
            <family val="0"/>
          </rPr>
          <t>Ô chỉ tiêu có định dạng số. Đơn vị tính x 1 (hoặc %)</t>
        </r>
      </text>
    </comment>
    <comment ref="G23" authorId="0">
      <text>
        <r>
          <rPr>
            <sz val="10"/>
            <rFont val="Arial"/>
            <family val="0"/>
          </rPr>
          <t>Ô chỉ tiêu có định dạng số. Đơn vị tính x 1 (hoặc %)</t>
        </r>
      </text>
    </comment>
    <comment ref="A32" authorId="0">
      <text>
        <r>
          <rPr>
            <sz val="10"/>
            <rFont val="Arial"/>
            <family val="0"/>
          </rPr>
          <t>Ô chỉ tiêu có định dạng số. Đơn vị tính x 1 (hoặc %)
Dữ liệu động đầu vào hợp lệ khi chỉ được thêm dòng trên ô này.</t>
        </r>
      </text>
    </comment>
    <comment ref="B32" authorId="0">
      <text>
        <r>
          <rPr>
            <sz val="10"/>
            <rFont val="Arial"/>
            <family val="0"/>
          </rPr>
          <t>Ô chỉ tiêu có định dạng ký tự
Dữ liệu động đầu vào hợp lệ khi chỉ được thêm dòng trên ô này.</t>
        </r>
      </text>
    </comment>
    <comment ref="C32"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
Dữ liệu động đầu vào hợp lệ khi chỉ được thêm dòng trên ô này.</t>
        </r>
      </text>
    </comment>
    <comment ref="E32" authorId="0">
      <text>
        <r>
          <rPr>
            <sz val="10"/>
            <rFont val="Arial"/>
            <family val="0"/>
          </rPr>
          <t>Ô chỉ tiêu có định dạng số. Đơn vị tính x 1 (hoặc %)
Dữ liệu động đầu vào hợp lệ khi chỉ được thêm dòng trên ô này.</t>
        </r>
      </text>
    </comment>
    <comment ref="F32" authorId="0">
      <text>
        <r>
          <rPr>
            <sz val="10"/>
            <rFont val="Arial"/>
            <family val="0"/>
          </rPr>
          <t>Ô chỉ tiêu có định dạng số. Đơn vị tính x 1 (hoặc %)
Dữ liệu động đầu vào hợp lệ khi chỉ được thêm dòng trên ô này.</t>
        </r>
      </text>
    </comment>
    <comment ref="G32" authorId="0">
      <text>
        <r>
          <rPr>
            <sz val="10"/>
            <rFont val="Arial"/>
            <family val="0"/>
          </rPr>
          <t>Ô chỉ tiêu có định dạng số. Đơn vị tính x 1 (hoặc %)
Dữ liệu động đầu vào hợp lệ khi chỉ được thêm dòng trên ô này.</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G33" authorId="0">
      <text>
        <r>
          <rPr>
            <sz val="10"/>
            <rFont val="Arial"/>
            <family val="0"/>
          </rPr>
          <t>Ô chỉ tiêu có định dạng số. Đơn vị tính x 1 (hoặc %)</t>
        </r>
      </text>
    </comment>
    <comment ref="D34"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t>
        </r>
      </text>
    </comment>
    <comment ref="F34" authorId="0">
      <text>
        <r>
          <rPr>
            <sz val="10"/>
            <rFont val="Arial"/>
            <family val="0"/>
          </rPr>
          <t>Ô chỉ tiêu có định dạng số. Đơn vị tính x 1 (hoặc %)</t>
        </r>
      </text>
    </comment>
    <comment ref="G34" authorId="0">
      <text>
        <r>
          <rPr>
            <sz val="10"/>
            <rFont val="Arial"/>
            <family val="0"/>
          </rPr>
          <t>Ô chỉ tiêu có định dạng số. Đơn vị tính x 1 (hoặc %)</t>
        </r>
      </text>
    </comment>
    <comment ref="A39" authorId="0">
      <text>
        <r>
          <rPr>
            <sz val="10"/>
            <rFont val="Arial"/>
            <family val="0"/>
          </rPr>
          <t>Ô chỉ tiêu có định dạng ký tự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ký tự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E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G39" authorId="0">
      <text>
        <r>
          <rPr>
            <sz val="10"/>
            <rFont val="Arial"/>
            <family val="0"/>
          </rPr>
          <t>Ô chỉ tiêu có định dạng số. Đơn vị tính x 1 (hoặc %)
Dữ liệu động đầu vào hợp lệ khi chỉ được thêm dòng trên ô này.</t>
        </r>
      </text>
    </comment>
    <comment ref="A41" authorId="0">
      <text>
        <r>
          <rPr>
            <sz val="10"/>
            <rFont val="Arial"/>
            <family val="0"/>
          </rPr>
          <t>Ô chỉ tiêu có định dạng ký tự
Dữ liệu động đầu vào hợp lệ khi chỉ được thêm dòng trên ô này.</t>
        </r>
      </text>
    </comment>
    <comment ref="B41" authorId="0">
      <text>
        <r>
          <rPr>
            <sz val="10"/>
            <rFont val="Arial"/>
            <family val="0"/>
          </rPr>
          <t>Ô chỉ tiêu có định dạng ký tự
Dữ liệu động đầu vào hợp lệ khi chỉ được thêm dòng trên ô này.</t>
        </r>
      </text>
    </comment>
    <comment ref="C41" authorId="0">
      <text>
        <r>
          <rPr>
            <sz val="10"/>
            <rFont val="Arial"/>
            <family val="0"/>
          </rPr>
          <t>Ô chỉ tiêu có định dạng ký tự
Dữ liệu động đầu vào hợp lệ khi chỉ được thêm dòng trên ô này.</t>
        </r>
      </text>
    </comment>
    <comment ref="D41" authorId="0">
      <text>
        <r>
          <rPr>
            <sz val="10"/>
            <rFont val="Arial"/>
            <family val="0"/>
          </rPr>
          <t>Ô chỉ tiêu có định dạng số. Đơn vị tính x 1 (hoặc %)
Dữ liệu động đầu vào hợp lệ khi chỉ được thêm dòng trên ô này.</t>
        </r>
      </text>
    </comment>
    <comment ref="E41" authorId="0">
      <text>
        <r>
          <rPr>
            <sz val="10"/>
            <rFont val="Arial"/>
            <family val="0"/>
          </rPr>
          <t>Ô chỉ tiêu có định dạng số. Đơn vị tính x 1 (hoặc %)
Dữ liệu động đầu vào hợp lệ khi chỉ được thêm dòng trên ô này.</t>
        </r>
      </text>
    </comment>
    <comment ref="F41" authorId="0">
      <text>
        <r>
          <rPr>
            <sz val="10"/>
            <rFont val="Arial"/>
            <family val="0"/>
          </rPr>
          <t>Ô chỉ tiêu có định dạng số. Đơn vị tính x 1 (hoặc %)
Dữ liệu động đầu vào hợp lệ khi chỉ được thêm dòng trên ô này.</t>
        </r>
      </text>
    </comment>
    <comment ref="G41" authorId="0">
      <text>
        <r>
          <rPr>
            <sz val="10"/>
            <rFont val="Arial"/>
            <family val="0"/>
          </rPr>
          <t>Ô chỉ tiêu có định dạng số. Đơn vị tính x 1 (hoặc %)
Dữ liệu động đầu vào hợp lệ khi chỉ được thêm dòng trên ô này.</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G43"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t>
        </r>
      </text>
    </comment>
    <comment ref="F22" authorId="0">
      <text>
        <r>
          <rPr>
            <sz val="10"/>
            <rFont val="Arial"/>
            <family val="0"/>
          </rPr>
          <t>Ô chỉ tiêu có định dạng số. Đơn vị tính x 1 (hoặc %)
Dữ liệu động đầu vào hợp lệ khi chỉ được thêm dòng trên ô này.</t>
        </r>
      </text>
    </comment>
    <comment ref="G22" authorId="0">
      <text>
        <r>
          <rPr>
            <sz val="10"/>
            <rFont val="Arial"/>
            <family val="0"/>
          </rPr>
          <t>Ô chỉ tiêu có định dạng số. Đơn vị tính x 1 (hoặc %)
Dữ liệu động đầu vào hợp lệ khi chỉ được thêm dòng trên ô này.</t>
        </r>
      </text>
    </comment>
    <comment ref="F42" authorId="0">
      <text>
        <r>
          <rPr>
            <sz val="10"/>
            <rFont val="Arial"/>
            <family val="0"/>
          </rPr>
          <t>Ô chỉ tiêu có định dạng số. Đơn vị tính x 1 (hoặc %)</t>
        </r>
      </text>
    </comment>
    <comment ref="G42"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t>
        </r>
      </text>
    </comment>
    <comment ref="D26" authorId="0">
      <text>
        <r>
          <rPr>
            <sz val="10"/>
            <rFont val="Arial"/>
            <family val="0"/>
          </rPr>
          <t>Ô chỉ tiêu có định dạng số. Đơn vị tính %</t>
        </r>
      </text>
    </comment>
    <comment ref="D27" authorId="0">
      <text>
        <r>
          <rPr>
            <sz val="10"/>
            <rFont val="Arial"/>
            <family val="0"/>
          </rPr>
          <t>Ô chỉ tiêu có định dạng số. Đơn vị tính %</t>
        </r>
      </text>
    </comment>
    <comment ref="D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t>
        </r>
      </text>
    </comment>
    <comment ref="E26" authorId="0">
      <text>
        <r>
          <rPr>
            <sz val="10"/>
            <rFont val="Arial"/>
            <family val="0"/>
          </rPr>
          <t>Ô chỉ tiêu có định dạng số. Đơn vị tính %</t>
        </r>
      </text>
    </comment>
    <comment ref="E27" authorId="0">
      <text>
        <r>
          <rPr>
            <sz val="10"/>
            <rFont val="Arial"/>
            <family val="0"/>
          </rPr>
          <t>Ô chỉ tiêu có định dạng số. Đơn vị tính %</t>
        </r>
      </text>
    </comment>
    <comment ref="E28"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<sst xmlns="http://schemas.openxmlformats.org/spreadsheetml/2006/main" count="1532" uniqueCount="413">
  <si>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</si>
  <si>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</si>
  <si>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</si>
  <si>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</si>
  <si>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</si>
  <si>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</si>
  <si>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</si>
  <si>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</si>
  <si>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</si>
  <si>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</si>
  <si>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</si>
  <si>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</si>
  <si>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</si>
  <si>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</si>
  <si>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</si>
  <si>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</si>
  <si>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</si>
  <si>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</si>
  <si>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</si>
  <si>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</si>
  <si>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</si>
  <si>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</si>
  <si>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</si>
  <si>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</si>
  <si>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</si>
  <si>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</si>
  <si>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</si>
  <si>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</si>
  <si>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</si>
  <si>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</si>
  <si>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</si>
  <si>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</si>
  <si>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</si>
  <si>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</si>
  <si>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</si>
  <si>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</si>
  <si>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</si>
  <si>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</si>
  <si>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</si>
  <si>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</si>
  <si>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</si>
  <si>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</si>
  <si>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</si>
  <si>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</si>
  <si>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</si>
  <si>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</si>
  <si>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</si>
  <si>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</si>
  <si>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</si>
  <si>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</si>
  <si>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</si>
  <si>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</si>
  <si>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</si>
  <si>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</si>
  <si>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</si>
  <si>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</si>
  <si>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</si>
  <si>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</si>
  <si>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</si>
  <si>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</si>
  <si>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</si>
  <si>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</si>
  <si>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</si>
  <si>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</si>
  <si>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</si>
  <si>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</si>
  <si>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</si>
  <si>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</si>
  <si>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</si>
  <si>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</si>
  <si>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</si>
  <si>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</si>
  <si>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</si>
  <si>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</si>
  <si>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</si>
  <si>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</si>
  <si>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</si>
  <si>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</si>
  <si>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</si>
  <si>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</si>
  <si>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</si>
  <si>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</si>
  <si>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</si>
  <si>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</si>
  <si>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</si>
  <si>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</si>
  <si>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</si>
  <si>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</si>
  <si>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</si>
  <si>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</si>
  <si>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</si>
  <si>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</si>
  <si>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</si>
  <si>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</si>
  <si>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</si>
  <si>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</si>
  <si>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</si>
  <si>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</si>
  <si>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</si>
  <si>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</si>
  <si>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</si>
  <si>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</si>
  <si>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</si>
  <si>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</si>
  <si>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</si>
  <si>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</si>
  <si>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</si>
  <si>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</si>
  <si>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</si>
  <si>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</si>
  <si>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</si>
  <si>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</si>
  <si>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</si>
  <si>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</si>
  <si>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</si>
  <si>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</si>
  <si>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</si>
  <si>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</si>
  <si>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</si>
  <si>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</si>
  <si>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</si>
  <si>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</si>
  <si>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</si>
  <si>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</si>
  <si>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</si>
  <si>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</si>
  <si>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</si>
  <si>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</si>
  <si>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</si>
  <si>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</si>
  <si>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</si>
  <si>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</si>
  <si>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</si>
  <si>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</si>
  <si>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</si>
  <si>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</si>
  <si>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</si>
  <si>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</si>
  <si>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</si>
  <si>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</si>
  <si>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</si>
  <si>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</si>
  <si>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</si>
  <si>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</si>
  <si>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</si>
  <si>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</si>
  <si>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</si>
  <si>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</si>
  <si>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</si>
  <si>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</si>
  <si>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</si>
  <si>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</si>
  <si>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</si>
  <si>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</si>
  <si>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</si>
  <si>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</si>
  <si>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</si>
  <si>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</si>
  <si>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</si>
  <si>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</si>
  <si>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</si>
  <si>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</si>
  <si>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</si>
  <si>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</si>
  <si>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</si>
  <si>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</si>
  <si>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</si>
  <si>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</si>
  <si>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</si>
  <si>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</si>
  <si>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</si>
  <si>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</si>
  <si>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</si>
  <si>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</si>
  <si>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</si>
  <si>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</si>
  <si>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</si>
  <si>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</si>
  <si>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</si>
  <si>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</si>
  <si>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</si>
  <si>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</si>
  <si>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</si>
  <si>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</si>
  <si>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</si>
  <si>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</si>
  <si>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</si>
  <si>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</si>
  <si>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</si>
  <si>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</si>
  <si>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</si>
  <si>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</si>
  <si>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</si>
  <si>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</si>
  <si>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</si>
  <si>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</si>
  <si>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</si>
  <si>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</si>
  <si>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</si>
  <si>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</si>
  <si>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</si>
  <si>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</si>
  <si>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</si>
  <si>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</si>
  <si>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</si>
  <si>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</si>
  <si>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</si>
  <si>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</si>
  <si>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</si>
  <si>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</si>
  <si>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</si>
  <si>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</si>
  <si>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</si>
  <si>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</si>
  <si>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</si>
  <si>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</si>
  <si>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</si>
  <si>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</si>
  <si>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</si>
  <si>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</si>
  <si>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</si>
  <si>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</si>
  <si>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</si>
  <si>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</si>
  <si>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</si>
  <si>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</si>
  <si>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</si>
  <si>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</si>
  <si>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</si>
  <si>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</si>
  <si>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</si>
  <si>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</si>
  <si>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</si>
  <si>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</si>
  <si>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</si>
  <si>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</si>
  <si>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</si>
  <si>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</si>
  <si>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</si>
  <si>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</si>
  <si>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</si>
  <si>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</si>
  <si>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</si>
  <si>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</si>
  <si>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</si>
  <si>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</si>
  <si>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</si>
  <si>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</si>
  <si>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</si>
  <si>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</si>
  <si>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</si>
  <si>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</si>
  <si>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</si>
  <si>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</si>
  <si>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</si>
  <si>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</si>
  <si>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</si>
  <si>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</si>
  <si>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</si>
  <si>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</si>
  <si>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</si>
  <si>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</si>
  <si>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</si>
  <si>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</si>
  <si>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</si>
  <si>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</si>
  <si>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</si>
  <si>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</si>
  <si>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</si>
  <si>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</si>
  <si>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</si>
  <si>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</si>
  <si>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</si>
  <si>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</si>
  <si>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</si>
  <si>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</si>
  <si>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</si>
  <si>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</si>
  <si>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</si>
  <si>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</si>
  <si>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</si>
  <si>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</si>
  <si>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</si>
  <si>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</si>
  <si>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</si>
  <si>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</si>
  <si>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</si>
  <si>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</si>
  <si>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</si>
  <si>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</si>
  <si>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</si>
  <si>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</si>
  <si>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</si>
  <si>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</si>
  <si>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</si>
  <si>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</si>
  <si>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</si>
  <si>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</si>
  <si>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</si>
  <si>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</si>
  <si>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</si>
  <si>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</si>
  <si>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</si>
  <si>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</si>
  <si>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</si>
  <si>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</si>
  <si>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</si>
  <si>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</si>
  <si>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</si>
  <si>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</si>
  <si>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</si>
  <si>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</si>
  <si>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</si>
  <si>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</si>
  <si>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</si>
  <si>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</si>
  <si>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</si>
  <si>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</si>
  <si>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</si>
  <si>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</si>
  <si>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</si>
  <si>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</si>
  <si>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</si>
  <si>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</si>
  <si>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</si>
  <si>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</si>
  <si>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</si>
  <si>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</si>
  <si>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</si>
  <si>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</si>
  <si>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</si>
  <si>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</si>
  <si>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</si>
  <si>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</si>
  <si>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</si>
  <si>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</si>
  <si>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Cổ phiếu</t>
  </si>
  <si>
    <t xml:space="preserve"> -   </t>
  </si>
  <si>
    <t>Đầu tư khác</t>
  </si>
  <si>
    <t>Quyền mua</t>
  </si>
  <si>
    <t>Phải trả cho Nhà đầu tư về mua lại Chứng chỉ qũy</t>
  </si>
  <si>
    <t>2215.1</t>
  </si>
  <si>
    <t>Phải trả cho Nhà đầu tư về mua Chứng chỉ quỹ</t>
  </si>
  <si>
    <t>2215.2</t>
  </si>
  <si>
    <t>Phải trả thu nhập cho nhà đầu tư</t>
  </si>
  <si>
    <t>2215.3</t>
  </si>
  <si>
    <t>Phải trả thù lao ban đại diện quỹ</t>
  </si>
  <si>
    <t>2215.4</t>
  </si>
  <si>
    <t>Phải trả phí họp đại hôi nhà đầu tư</t>
  </si>
  <si>
    <t>2215.5</t>
  </si>
  <si>
    <t>Thuế và các khoản phải nộp Nhà nước</t>
  </si>
  <si>
    <t>2215.6</t>
  </si>
  <si>
    <t>Phải trả công ty quản lý quỹ</t>
  </si>
  <si>
    <t>2215.7</t>
  </si>
  <si>
    <t>Phải trả phí lưu ký</t>
  </si>
  <si>
    <t>2215.8</t>
  </si>
  <si>
    <t>Phải trả phí giám sát</t>
  </si>
  <si>
    <t>2215.9</t>
  </si>
  <si>
    <t>Phải trả phí quản trị quỹ</t>
  </si>
  <si>
    <t>2215.10</t>
  </si>
  <si>
    <t>Phải trả phí dịch vụ đại lý chuyển nhượng</t>
  </si>
  <si>
    <t>2215.11</t>
  </si>
  <si>
    <t>Phải trả phí kiểm toán</t>
  </si>
  <si>
    <t>2215.12</t>
  </si>
  <si>
    <t>Phải trả phí thường niên</t>
  </si>
  <si>
    <t>2215.13</t>
  </si>
  <si>
    <t>Phải trả phí phát hành, mua lại chứng chỉ quỹ cho Đại lý phân phối và CTQLQ</t>
  </si>
  <si>
    <t>2215.14</t>
  </si>
  <si>
    <t>Phai trả phí môi giới</t>
  </si>
  <si>
    <t>2215.15</t>
  </si>
  <si>
    <t>Phai trả phí xử lý giao dịch</t>
  </si>
  <si>
    <t>2215.16</t>
  </si>
  <si>
    <t>Phải trả khác</t>
  </si>
  <si>
    <t>2215.17</t>
  </si>
  <si>
    <t>Phí lưu ký trả cho NHGS</t>
  </si>
  <si>
    <t>Phí dịch vụ lưu ký - trả cho VSD</t>
  </si>
  <si>
    <t>Phí giám sát trả cho NHGS</t>
  </si>
  <si>
    <t>Chi phí dịch vụ quản trị quỹ trả cho NHGS</t>
  </si>
  <si>
    <t>2227.1</t>
  </si>
  <si>
    <t>Chi phí dịch vụ đại lý chuyển nhượng và các chi phí khác mà công ty quản lý quỹ trả cho VSD</t>
  </si>
  <si>
    <t>2227.2</t>
  </si>
  <si>
    <t>Chi phí môi giới chứng khoán</t>
  </si>
  <si>
    <t>Chi phí lưu ký, xử lý hồ sơ</t>
  </si>
  <si>
    <t>Chi phí khác</t>
  </si>
  <si>
    <t>Phí ngân hàng
Bank charges</t>
  </si>
  <si>
    <t>2232.1</t>
  </si>
  <si>
    <t>Phí quản lý thường niên
Annual fee for SSC</t>
  </si>
  <si>
    <t>2232.2</t>
  </si>
  <si>
    <t>Phí khác
Others</t>
  </si>
  <si>
    <t>2232.3</t>
  </si>
  <si>
    <t xml:space="preserve">     HDG121001       </t>
  </si>
  <si>
    <t xml:space="preserve">     MSN11906        </t>
  </si>
  <si>
    <t xml:space="preserve">     MSN12005        </t>
  </si>
  <si>
    <t>Lãi trái phiếu được nhận</t>
  </si>
  <si>
    <t>Cổ tức được nhận</t>
  </si>
  <si>
    <t>Phải thu trái phiếu đáo hạn</t>
  </si>
  <si>
    <t>Phải thu bán chứng khoán</t>
  </si>
  <si>
    <t>Các khoản đặt cọc và ứng trước</t>
  </si>
  <si>
    <t>Giấy tờ có giá</t>
  </si>
  <si>
    <t>Tài sản khác</t>
  </si>
  <si>
    <t>Tiền gửi hoạt động</t>
  </si>
  <si>
    <t>Tiền mua CCQ của NĐT</t>
  </si>
  <si>
    <t>Tiền phải trả cho Nhà đầu tư về mua lại chứng chỉ quỹ</t>
  </si>
  <si>
    <t>Tiền gửi kỳ hạn không quá 3 tháng</t>
  </si>
  <si>
    <t>Tiền gửi ngân hàng trên 3 tháng</t>
  </si>
  <si>
    <t>1. Tên Công ty quản lý quỹ: Công Ty TNHH MTV Quản Lý Quỹ Đầu tư Chứng Khoán IPA</t>
  </si>
  <si>
    <t xml:space="preserve">2. Tên Ngân hàng giám sát: Ngân hàng TMCP Đầu tư và Phát triển Việt Nam - CN Hà Thành </t>
  </si>
  <si>
    <t>3. Tên Quỹ: Quỹ Đầu tư Trái phiếu VND</t>
  </si>
  <si>
    <t>Tháng</t>
  </si>
  <si>
    <t xml:space="preserve">     VICB2023001     </t>
  </si>
  <si>
    <t>Phí dịch vụ lưu ký - giao dịch chứng khoán</t>
  </si>
  <si>
    <t>4. Ngày lập báo cáo: 11/02/2022</t>
  </si>
  <si>
    <t xml:space="preserve">     VHM121025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</si>
</sst>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s>
  <fonts count="43">
    <font>
      <sz val="10"/>
      <name val="Arial"/>
      <family val="0"/>
    </font>
    <font>
      <sz val="12"/>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4"/>
      <name val="Times New Roman"/>
      <family val="2"/>
    </font>
    <font>
      <b/>
      <sz val="11"/>
      <color indexed="8"/>
      <name val="Arial"/>
      <family val="2"/>
    </font>
    <font>
      <sz val="11"/>
      <color indexed="10"/>
      <name val="Arial"/>
      <family val="2"/>
    </font>
    <font>
      <sz val="12"/>
      <color indexed="6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C00000"/>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179"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28" fillId="28" borderId="2" applyNumberFormat="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2">
    <xf numFmtId="0" fontId="0" fillId="0" borderId="0" xfId="0" applyAlignment="1">
      <alignment/>
    </xf>
    <xf numFmtId="0" fontId="1" fillId="0" borderId="0" xfId="0" applyFont="1" applyAlignment="1">
      <alignment horizontal="left"/>
    </xf>
    <xf numFmtId="0" fontId="1" fillId="0" borderId="0" xfId="0" applyFont="1" applyAlignment="1">
      <alignment horizontal="right"/>
    </xf>
    <xf numFmtId="0" fontId="3" fillId="0" borderId="10" xfId="0" applyFont="1" applyBorder="1" applyAlignment="1">
      <alignment horizontal="center" vertical="justify"/>
    </xf>
    <xf numFmtId="0" fontId="1" fillId="0" borderId="10" xfId="0" applyFont="1" applyBorder="1" applyAlignment="1">
      <alignment horizontal="center"/>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33" borderId="10" xfId="0" applyFont="1" applyFill="1" applyBorder="1" applyAlignment="1">
      <alignment horizontal="left"/>
    </xf>
    <xf numFmtId="0" fontId="1" fillId="0" borderId="10" xfId="0" applyFont="1" applyBorder="1" applyAlignment="1">
      <alignment horizontal="left"/>
    </xf>
    <xf numFmtId="0" fontId="1" fillId="0" borderId="0" xfId="0" applyFont="1" applyAlignment="1">
      <alignment/>
    </xf>
    <xf numFmtId="0" fontId="1" fillId="0" borderId="0" xfId="0" applyFont="1" applyAlignment="1">
      <alignment horizontal="left"/>
    </xf>
    <xf numFmtId="10" fontId="1" fillId="0" borderId="10" xfId="0" applyNumberFormat="1" applyFont="1" applyBorder="1" applyAlignment="1">
      <alignment horizontal="left"/>
    </xf>
    <xf numFmtId="0" fontId="1" fillId="0" borderId="10" xfId="0" applyFont="1" applyFill="1" applyBorder="1" applyAlignment="1">
      <alignment horizontal="left"/>
    </xf>
    <xf numFmtId="0" fontId="5" fillId="0" borderId="0" xfId="0" applyFont="1" applyAlignment="1">
      <alignment horizontal="center" vertical="justify"/>
    </xf>
    <xf numFmtId="0" fontId="3"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41" fillId="0" borderId="0" xfId="0" applyFont="1" applyAlignment="1">
      <alignment horizontal="left"/>
    </xf>
    <xf numFmtId="0" fontId="3" fillId="0" borderId="10" xfId="0" applyFont="1" applyBorder="1" applyAlignment="1">
      <alignment horizontal="left"/>
    </xf>
    <xf numFmtId="0" fontId="3" fillId="33" borderId="10" xfId="0" applyFont="1" applyFill="1" applyBorder="1" applyAlignment="1">
      <alignment horizontal="center" vertical="justify"/>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tabSelected="1" zoomScalePageLayoutView="0" workbookViewId="0" topLeftCell="A1">
      <selection activeCell="C11" sqref="C11"/>
    </sheetView>
  </sheetViews>
  <sheetFormatPr defaultColWidth="9.140625" defaultRowHeight="12.75"/>
  <cols>
    <col min="1" max="1" width="32.8515625" style="0" customWidth="1"/>
    <col min="2" max="2" width="8.7109375" style="0" customWidth="1"/>
    <col min="3" max="3" width="81.140625" style="0" customWidth="1"/>
    <col min="4" max="4" width="37.00390625" style="0" customWidth="1"/>
  </cols>
  <sheetData>
    <row r="1" spans="1:4" ht="15" customHeight="1">
      <c r="A1" s="17" t="s">
        <v>0</v>
      </c>
      <c r="B1" s="17"/>
      <c r="C1" s="17"/>
      <c r="D1" s="17"/>
    </row>
    <row r="2" spans="1:4" ht="9" customHeight="1">
      <c r="A2" s="17"/>
      <c r="B2" s="17"/>
      <c r="C2" s="17"/>
      <c r="D2" s="17"/>
    </row>
    <row r="3" spans="1:4" ht="15" customHeight="1">
      <c r="A3" s="1" t="s">
        <v>1</v>
      </c>
      <c r="B3" s="1" t="s">
        <v>1</v>
      </c>
      <c r="C3" s="2" t="s">
        <v>2</v>
      </c>
      <c r="D3" s="12" t="s">
        <v>408</v>
      </c>
    </row>
    <row r="4" spans="1:4" ht="15" customHeight="1">
      <c r="A4" s="1" t="s">
        <v>1</v>
      </c>
      <c r="B4" s="1" t="s">
        <v>1</v>
      </c>
      <c r="C4" s="2" t="s">
        <v>3</v>
      </c>
      <c r="D4" s="12">
        <v>1</v>
      </c>
    </row>
    <row r="5" spans="1:4" ht="15" customHeight="1">
      <c r="A5" s="1" t="s">
        <v>1</v>
      </c>
      <c r="B5" s="1" t="s">
        <v>1</v>
      </c>
      <c r="C5" s="2" t="s">
        <v>4</v>
      </c>
      <c r="D5" s="12">
        <v>2022</v>
      </c>
    </row>
    <row r="6" spans="1:4" ht="15" customHeight="1">
      <c r="A6" s="1" t="s">
        <v>1</v>
      </c>
      <c r="B6" s="1" t="s">
        <v>1</v>
      </c>
      <c r="C6" s="1" t="s">
        <v>1</v>
      </c>
      <c r="D6" s="1" t="s">
        <v>1</v>
      </c>
    </row>
    <row r="7" spans="1:4" ht="15" customHeight="1">
      <c r="A7" s="11" t="s">
        <v>405</v>
      </c>
      <c r="B7" s="11"/>
      <c r="C7" s="1"/>
      <c r="D7" s="1" t="s">
        <v>1</v>
      </c>
    </row>
    <row r="8" spans="1:4" ht="15" customHeight="1">
      <c r="A8" s="11" t="s">
        <v>406</v>
      </c>
      <c r="B8" s="11"/>
      <c r="C8" s="1"/>
      <c r="D8" s="1" t="s">
        <v>1</v>
      </c>
    </row>
    <row r="9" spans="1:4" ht="15" customHeight="1">
      <c r="A9" s="18" t="s">
        <v>407</v>
      </c>
      <c r="B9" s="18"/>
      <c r="C9" s="1"/>
      <c r="D9" s="1" t="s">
        <v>1</v>
      </c>
    </row>
    <row r="10" spans="1:4" ht="15" customHeight="1">
      <c r="A10" s="19" t="s">
        <v>411</v>
      </c>
      <c r="B10" s="19"/>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15" customHeight="1">
      <c r="A33" s="16" t="s">
        <v>52</v>
      </c>
      <c r="B33" s="16"/>
      <c r="C33" s="16" t="s">
        <v>53</v>
      </c>
      <c r="D33" s="16"/>
    </row>
    <row r="34" spans="1:4" ht="15" customHeight="1">
      <c r="A34" s="15" t="s">
        <v>54</v>
      </c>
      <c r="B34" s="15"/>
      <c r="C34" s="15" t="s">
        <v>54</v>
      </c>
      <c r="D34" s="15"/>
    </row>
    <row r="35" spans="1:4" ht="15" customHeight="1">
      <c r="A35" s="1" t="s">
        <v>1</v>
      </c>
      <c r="B35" s="1" t="s">
        <v>1</v>
      </c>
      <c r="C35" s="1" t="s">
        <v>1</v>
      </c>
      <c r="D35" s="1" t="s">
        <v>1</v>
      </c>
    </row>
  </sheetData>
  <sheetProtection/>
  <mergeCells count="7">
    <mergeCell ref="A34:B34"/>
    <mergeCell ref="C33:D33"/>
    <mergeCell ref="C34:D34"/>
    <mergeCell ref="A1:D2"/>
    <mergeCell ref="A9:B9"/>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21" t="s">
        <v>6</v>
      </c>
      <c r="B1" s="21" t="s">
        <v>118</v>
      </c>
      <c r="C1" s="21" t="s">
        <v>236</v>
      </c>
      <c r="D1" s="21"/>
      <c r="E1" s="21" t="s">
        <v>237</v>
      </c>
      <c r="F1" s="21"/>
      <c r="G1" s="21" t="s">
        <v>317</v>
      </c>
    </row>
    <row r="2" spans="1:7" ht="15" customHeight="1">
      <c r="A2" s="21"/>
      <c r="B2" s="21"/>
      <c r="C2" s="7" t="s">
        <v>308</v>
      </c>
      <c r="D2" s="7" t="s">
        <v>314</v>
      </c>
      <c r="E2" s="7" t="s">
        <v>308</v>
      </c>
      <c r="F2" s="7" t="s">
        <v>314</v>
      </c>
      <c r="G2" s="21"/>
    </row>
    <row r="3" spans="1:7" ht="15" customHeight="1">
      <c r="A3" s="8" t="s">
        <v>59</v>
      </c>
      <c r="B3" s="8" t="s">
        <v>318</v>
      </c>
      <c r="C3" s="8" t="s">
        <v>1</v>
      </c>
      <c r="D3" s="8" t="s">
        <v>1</v>
      </c>
      <c r="E3" s="8" t="s">
        <v>1</v>
      </c>
      <c r="F3" s="8" t="s">
        <v>1</v>
      </c>
      <c r="G3" s="8" t="s">
        <v>1</v>
      </c>
    </row>
    <row r="4" spans="1:7" ht="15" customHeight="1">
      <c r="A4" s="5" t="s">
        <v>1</v>
      </c>
      <c r="B4" s="5" t="s">
        <v>77</v>
      </c>
      <c r="C4" s="5" t="s">
        <v>1</v>
      </c>
      <c r="D4" s="5" t="s">
        <v>1</v>
      </c>
      <c r="E4" s="5" t="s">
        <v>1</v>
      </c>
      <c r="F4" s="5" t="s">
        <v>1</v>
      </c>
      <c r="G4" s="5" t="s">
        <v>1</v>
      </c>
    </row>
    <row r="5" spans="1:7" ht="15" customHeight="1">
      <c r="A5" s="5" t="s">
        <v>1</v>
      </c>
      <c r="B5" s="5" t="s">
        <v>80</v>
      </c>
      <c r="C5" s="5" t="s">
        <v>1</v>
      </c>
      <c r="D5" s="5" t="s">
        <v>1</v>
      </c>
      <c r="E5" s="5" t="s">
        <v>1</v>
      </c>
      <c r="F5" s="5" t="s">
        <v>1</v>
      </c>
      <c r="G5" s="5" t="s">
        <v>1</v>
      </c>
    </row>
    <row r="6" spans="1:7" ht="15" customHeight="1">
      <c r="A6" s="5" t="s">
        <v>1</v>
      </c>
      <c r="B6" s="5" t="s">
        <v>319</v>
      </c>
      <c r="C6" s="5" t="s">
        <v>1</v>
      </c>
      <c r="D6" s="5" t="s">
        <v>1</v>
      </c>
      <c r="E6" s="5" t="s">
        <v>1</v>
      </c>
      <c r="F6" s="5" t="s">
        <v>1</v>
      </c>
      <c r="G6" s="5" t="s">
        <v>1</v>
      </c>
    </row>
    <row r="7" spans="1:7" ht="15" customHeight="1">
      <c r="A7" s="5" t="s">
        <v>67</v>
      </c>
      <c r="B7" s="5" t="s">
        <v>67</v>
      </c>
      <c r="C7" s="5" t="s">
        <v>67</v>
      </c>
      <c r="D7" s="5" t="s">
        <v>67</v>
      </c>
      <c r="E7" s="5" t="s">
        <v>67</v>
      </c>
      <c r="F7" s="5" t="s">
        <v>67</v>
      </c>
      <c r="G7" s="5" t="s">
        <v>67</v>
      </c>
    </row>
    <row r="8" spans="1:7" ht="15" customHeight="1">
      <c r="A8" s="8" t="s">
        <v>97</v>
      </c>
      <c r="B8" s="8" t="s">
        <v>320</v>
      </c>
      <c r="C8" s="8" t="s">
        <v>1</v>
      </c>
      <c r="D8" s="8" t="s">
        <v>1</v>
      </c>
      <c r="E8" s="8" t="s">
        <v>1</v>
      </c>
      <c r="F8" s="8" t="s">
        <v>1</v>
      </c>
      <c r="G8" s="8" t="s">
        <v>1</v>
      </c>
    </row>
    <row r="9" spans="1:7" ht="15" customHeight="1">
      <c r="A9" s="5" t="s">
        <v>1</v>
      </c>
      <c r="B9" s="5" t="s">
        <v>321</v>
      </c>
      <c r="C9" s="5" t="s">
        <v>1</v>
      </c>
      <c r="D9" s="5" t="s">
        <v>1</v>
      </c>
      <c r="E9" s="5" t="s">
        <v>1</v>
      </c>
      <c r="F9" s="5" t="s">
        <v>1</v>
      </c>
      <c r="G9" s="5" t="s">
        <v>1</v>
      </c>
    </row>
    <row r="10" spans="1:7" ht="15" customHeight="1">
      <c r="A10" s="5" t="s">
        <v>67</v>
      </c>
      <c r="B10" s="5" t="s">
        <v>67</v>
      </c>
      <c r="C10" s="5" t="s">
        <v>67</v>
      </c>
      <c r="D10" s="5" t="s">
        <v>67</v>
      </c>
      <c r="E10" s="5" t="s">
        <v>67</v>
      </c>
      <c r="F10" s="5" t="s">
        <v>67</v>
      </c>
      <c r="G10" s="5" t="s">
        <v>67</v>
      </c>
    </row>
    <row r="11" spans="1:7" ht="15" customHeight="1">
      <c r="A11" s="5" t="s">
        <v>1</v>
      </c>
      <c r="B11" s="5" t="s">
        <v>322</v>
      </c>
      <c r="C11" s="5" t="s">
        <v>1</v>
      </c>
      <c r="D11" s="5" t="s">
        <v>1</v>
      </c>
      <c r="E11" s="5" t="s">
        <v>1</v>
      </c>
      <c r="F11" s="5" t="s">
        <v>1</v>
      </c>
      <c r="G11" s="5" t="s">
        <v>1</v>
      </c>
    </row>
    <row r="12" spans="1:7" ht="15" customHeight="1">
      <c r="A12" s="5" t="s">
        <v>67</v>
      </c>
      <c r="B12" s="5" t="s">
        <v>67</v>
      </c>
      <c r="C12" s="5" t="s">
        <v>67</v>
      </c>
      <c r="D12" s="5" t="s">
        <v>67</v>
      </c>
      <c r="E12" s="5" t="s">
        <v>67</v>
      </c>
      <c r="F12" s="5" t="s">
        <v>67</v>
      </c>
      <c r="G12" s="5" t="s">
        <v>67</v>
      </c>
    </row>
    <row r="13" spans="1:7" ht="15" customHeight="1">
      <c r="A13" s="8" t="s">
        <v>145</v>
      </c>
      <c r="B13" s="8" t="s">
        <v>323</v>
      </c>
      <c r="C13" s="8" t="s">
        <v>1</v>
      </c>
      <c r="D13" s="8" t="s">
        <v>1</v>
      </c>
      <c r="E13" s="8" t="s">
        <v>1</v>
      </c>
      <c r="F13" s="8" t="s">
        <v>1</v>
      </c>
      <c r="G13" s="8" t="s">
        <v>1</v>
      </c>
    </row>
    <row r="14" spans="1:7" ht="15" customHeight="1">
      <c r="A14" s="8" t="s">
        <v>148</v>
      </c>
      <c r="B14" s="8" t="s">
        <v>324</v>
      </c>
      <c r="C14" s="8" t="s">
        <v>1</v>
      </c>
      <c r="D14" s="8" t="s">
        <v>1</v>
      </c>
      <c r="E14" s="8" t="s">
        <v>1</v>
      </c>
      <c r="F14" s="8" t="s">
        <v>1</v>
      </c>
      <c r="G14" s="8" t="s">
        <v>1</v>
      </c>
    </row>
    <row r="15" spans="1:7" ht="15" customHeight="1">
      <c r="A15" s="5" t="s">
        <v>1</v>
      </c>
      <c r="B15" s="5" t="s">
        <v>325</v>
      </c>
      <c r="C15" s="5" t="s">
        <v>1</v>
      </c>
      <c r="D15" s="5" t="s">
        <v>1</v>
      </c>
      <c r="E15" s="5" t="s">
        <v>1</v>
      </c>
      <c r="F15" s="5" t="s">
        <v>1</v>
      </c>
      <c r="G15" s="5" t="s">
        <v>1</v>
      </c>
    </row>
    <row r="16" spans="1:7" ht="15" customHeight="1">
      <c r="A16" s="5" t="s">
        <v>1</v>
      </c>
      <c r="B16" s="5" t="s">
        <v>153</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4.00390625" style="0" customWidth="1"/>
    <col min="6" max="7" width="12.7109375" style="0" customWidth="1"/>
    <col min="8" max="8" width="15.00390625" style="0" customWidth="1"/>
  </cols>
  <sheetData>
    <row r="1" spans="1:8" ht="15" customHeight="1">
      <c r="A1" s="21" t="s">
        <v>6</v>
      </c>
      <c r="B1" s="21" t="s">
        <v>326</v>
      </c>
      <c r="C1" s="21" t="s">
        <v>179</v>
      </c>
      <c r="D1" s="21" t="s">
        <v>180</v>
      </c>
      <c r="E1" s="21"/>
      <c r="F1" s="21" t="s">
        <v>181</v>
      </c>
      <c r="G1" s="21"/>
      <c r="H1" s="21" t="s">
        <v>327</v>
      </c>
    </row>
    <row r="2" spans="1:8" ht="15" customHeight="1">
      <c r="A2" s="21"/>
      <c r="B2" s="21"/>
      <c r="C2" s="21"/>
      <c r="D2" s="7" t="s">
        <v>308</v>
      </c>
      <c r="E2" s="7" t="s">
        <v>314</v>
      </c>
      <c r="F2" s="7" t="s">
        <v>308</v>
      </c>
      <c r="G2" s="7" t="s">
        <v>314</v>
      </c>
      <c r="H2" s="21"/>
    </row>
    <row r="3" spans="1:8" ht="15" customHeight="1">
      <c r="A3" s="8" t="s">
        <v>59</v>
      </c>
      <c r="B3" s="8" t="s">
        <v>328</v>
      </c>
      <c r="C3" s="8" t="s">
        <v>1</v>
      </c>
      <c r="D3" s="8" t="s">
        <v>1</v>
      </c>
      <c r="E3" s="8" t="s">
        <v>1</v>
      </c>
      <c r="F3" s="8" t="s">
        <v>1</v>
      </c>
      <c r="G3" s="8" t="s">
        <v>1</v>
      </c>
      <c r="H3" s="8" t="s">
        <v>1</v>
      </c>
    </row>
    <row r="4" spans="1:8" ht="15" customHeight="1">
      <c r="A4" s="5" t="s">
        <v>67</v>
      </c>
      <c r="B4" s="5" t="s">
        <v>67</v>
      </c>
      <c r="C4" s="5" t="s">
        <v>67</v>
      </c>
      <c r="D4" s="5" t="s">
        <v>67</v>
      </c>
      <c r="E4" s="5" t="s">
        <v>67</v>
      </c>
      <c r="F4" s="5" t="s">
        <v>67</v>
      </c>
      <c r="G4" s="5" t="s">
        <v>67</v>
      </c>
      <c r="H4" s="5" t="s">
        <v>67</v>
      </c>
    </row>
    <row r="5" spans="1:8" ht="15" customHeight="1">
      <c r="A5" s="5" t="s">
        <v>1</v>
      </c>
      <c r="B5" s="5" t="s">
        <v>184</v>
      </c>
      <c r="C5" s="5" t="s">
        <v>1</v>
      </c>
      <c r="D5" s="5" t="s">
        <v>1</v>
      </c>
      <c r="E5" s="5" t="s">
        <v>1</v>
      </c>
      <c r="F5" s="5" t="s">
        <v>1</v>
      </c>
      <c r="G5" s="5" t="s">
        <v>1</v>
      </c>
      <c r="H5" s="5" t="s">
        <v>1</v>
      </c>
    </row>
    <row r="6" spans="1:8" ht="15" customHeight="1">
      <c r="A6" s="8" t="s">
        <v>97</v>
      </c>
      <c r="B6" s="8" t="s">
        <v>329</v>
      </c>
      <c r="C6" s="8" t="s">
        <v>1</v>
      </c>
      <c r="D6" s="8" t="s">
        <v>1</v>
      </c>
      <c r="E6" s="8" t="s">
        <v>1</v>
      </c>
      <c r="F6" s="8" t="s">
        <v>1</v>
      </c>
      <c r="G6" s="8" t="s">
        <v>1</v>
      </c>
      <c r="H6" s="8" t="s">
        <v>1</v>
      </c>
    </row>
    <row r="7" spans="1:8" ht="15" customHeight="1">
      <c r="A7" s="5" t="s">
        <v>67</v>
      </c>
      <c r="B7" s="5" t="s">
        <v>67</v>
      </c>
      <c r="C7" s="5" t="s">
        <v>67</v>
      </c>
      <c r="D7" s="5" t="s">
        <v>67</v>
      </c>
      <c r="E7" s="5" t="s">
        <v>67</v>
      </c>
      <c r="F7" s="5" t="s">
        <v>67</v>
      </c>
      <c r="G7" s="5" t="s">
        <v>67</v>
      </c>
      <c r="H7" s="5" t="s">
        <v>67</v>
      </c>
    </row>
    <row r="8" spans="1:8" ht="15" customHeight="1">
      <c r="A8" s="5" t="s">
        <v>1</v>
      </c>
      <c r="B8" s="5" t="s">
        <v>184</v>
      </c>
      <c r="C8" s="5" t="s">
        <v>1</v>
      </c>
      <c r="D8" s="5" t="s">
        <v>1</v>
      </c>
      <c r="E8" s="5" t="s">
        <v>1</v>
      </c>
      <c r="F8" s="5" t="s">
        <v>1</v>
      </c>
      <c r="G8" s="5" t="s">
        <v>1</v>
      </c>
      <c r="H8" s="5" t="s">
        <v>1</v>
      </c>
    </row>
    <row r="9" spans="1:8" ht="15" customHeight="1">
      <c r="A9" s="8" t="s">
        <v>145</v>
      </c>
      <c r="B9" s="8" t="s">
        <v>330</v>
      </c>
      <c r="C9" s="8" t="s">
        <v>1</v>
      </c>
      <c r="D9" s="8" t="s">
        <v>1</v>
      </c>
      <c r="E9" s="8" t="s">
        <v>1</v>
      </c>
      <c r="F9" s="8" t="s">
        <v>1</v>
      </c>
      <c r="G9" s="8" t="s">
        <v>1</v>
      </c>
      <c r="H9" s="8" t="s">
        <v>1</v>
      </c>
    </row>
    <row r="10" spans="1:8" ht="15" customHeight="1">
      <c r="A10" s="5" t="s">
        <v>67</v>
      </c>
      <c r="B10" s="5" t="s">
        <v>67</v>
      </c>
      <c r="C10" s="5" t="s">
        <v>67</v>
      </c>
      <c r="D10" s="5" t="s">
        <v>67</v>
      </c>
      <c r="E10" s="5" t="s">
        <v>67</v>
      </c>
      <c r="F10" s="5" t="s">
        <v>67</v>
      </c>
      <c r="G10" s="5" t="s">
        <v>67</v>
      </c>
      <c r="H10" s="5" t="s">
        <v>67</v>
      </c>
    </row>
    <row r="11" spans="1:8" ht="15" customHeight="1">
      <c r="A11" s="5" t="s">
        <v>1</v>
      </c>
      <c r="B11" s="5" t="s">
        <v>184</v>
      </c>
      <c r="C11" s="5" t="s">
        <v>1</v>
      </c>
      <c r="D11" s="5" t="s">
        <v>1</v>
      </c>
      <c r="E11" s="5" t="s">
        <v>1</v>
      </c>
      <c r="F11" s="5" t="s">
        <v>1</v>
      </c>
      <c r="G11" s="5" t="s">
        <v>1</v>
      </c>
      <c r="H11" s="5" t="s">
        <v>1</v>
      </c>
    </row>
    <row r="12" spans="1:8" ht="15" customHeight="1">
      <c r="A12" s="8" t="s">
        <v>148</v>
      </c>
      <c r="B12" s="8" t="s">
        <v>331</v>
      </c>
      <c r="C12" s="8" t="s">
        <v>1</v>
      </c>
      <c r="D12" s="8" t="s">
        <v>1</v>
      </c>
      <c r="E12" s="8" t="s">
        <v>1</v>
      </c>
      <c r="F12" s="8" t="s">
        <v>1</v>
      </c>
      <c r="G12" s="8" t="s">
        <v>1</v>
      </c>
      <c r="H12" s="8" t="s">
        <v>1</v>
      </c>
    </row>
    <row r="13" spans="1:8" ht="15" customHeight="1">
      <c r="A13" s="5" t="s">
        <v>67</v>
      </c>
      <c r="B13" s="5" t="s">
        <v>67</v>
      </c>
      <c r="C13" s="5" t="s">
        <v>67</v>
      </c>
      <c r="D13" s="5" t="s">
        <v>67</v>
      </c>
      <c r="E13" s="5" t="s">
        <v>67</v>
      </c>
      <c r="F13" s="5" t="s">
        <v>67</v>
      </c>
      <c r="G13" s="5" t="s">
        <v>67</v>
      </c>
      <c r="H13" s="5" t="s">
        <v>67</v>
      </c>
    </row>
    <row r="14" spans="1:8" ht="15" customHeight="1">
      <c r="A14" s="5" t="s">
        <v>1</v>
      </c>
      <c r="B14" s="5" t="s">
        <v>184</v>
      </c>
      <c r="C14" s="5" t="s">
        <v>1</v>
      </c>
      <c r="D14" s="5" t="s">
        <v>1</v>
      </c>
      <c r="E14" s="5" t="s">
        <v>1</v>
      </c>
      <c r="F14" s="5" t="s">
        <v>1</v>
      </c>
      <c r="G14" s="5" t="s">
        <v>1</v>
      </c>
      <c r="H14" s="5" t="s">
        <v>1</v>
      </c>
    </row>
    <row r="15" spans="1:8" ht="15" customHeight="1">
      <c r="A15" s="8" t="s">
        <v>155</v>
      </c>
      <c r="B15" s="8" t="s">
        <v>332</v>
      </c>
      <c r="C15" s="8" t="s">
        <v>1</v>
      </c>
      <c r="D15" s="8" t="s">
        <v>1</v>
      </c>
      <c r="E15" s="8" t="s">
        <v>1</v>
      </c>
      <c r="F15" s="8" t="s">
        <v>1</v>
      </c>
      <c r="G15" s="8" t="s">
        <v>1</v>
      </c>
      <c r="H15" s="8" t="s">
        <v>1</v>
      </c>
    </row>
    <row r="16" spans="1:8" ht="15" customHeight="1">
      <c r="A16" s="5" t="s">
        <v>67</v>
      </c>
      <c r="B16" s="5" t="s">
        <v>67</v>
      </c>
      <c r="C16" s="5" t="s">
        <v>67</v>
      </c>
      <c r="D16" s="5" t="s">
        <v>67</v>
      </c>
      <c r="E16" s="5" t="s">
        <v>67</v>
      </c>
      <c r="F16" s="5" t="s">
        <v>67</v>
      </c>
      <c r="G16" s="5" t="s">
        <v>67</v>
      </c>
      <c r="H16" s="5" t="s">
        <v>67</v>
      </c>
    </row>
    <row r="17" spans="1:8" ht="15" customHeight="1">
      <c r="A17" s="5" t="s">
        <v>1</v>
      </c>
      <c r="B17" s="5" t="s">
        <v>184</v>
      </c>
      <c r="C17" s="5" t="s">
        <v>1</v>
      </c>
      <c r="D17" s="5" t="s">
        <v>1</v>
      </c>
      <c r="E17" s="5" t="s">
        <v>1</v>
      </c>
      <c r="F17" s="5" t="s">
        <v>1</v>
      </c>
      <c r="G17" s="5" t="s">
        <v>1</v>
      </c>
      <c r="H17" s="5" t="s">
        <v>1</v>
      </c>
    </row>
    <row r="18" spans="1:8" ht="15" customHeight="1">
      <c r="A18" s="8" t="s">
        <v>158</v>
      </c>
      <c r="B18" s="8" t="s">
        <v>333</v>
      </c>
      <c r="C18" s="8" t="s">
        <v>1</v>
      </c>
      <c r="D18" s="8" t="s">
        <v>1</v>
      </c>
      <c r="E18" s="8" t="s">
        <v>1</v>
      </c>
      <c r="F18" s="8" t="s">
        <v>1</v>
      </c>
      <c r="G18" s="8" t="s">
        <v>1</v>
      </c>
      <c r="H18" s="8" t="s">
        <v>1</v>
      </c>
    </row>
    <row r="19" spans="1:8" ht="15" customHeight="1">
      <c r="A19" s="5" t="s">
        <v>67</v>
      </c>
      <c r="B19" s="5" t="s">
        <v>67</v>
      </c>
      <c r="C19" s="5" t="s">
        <v>67</v>
      </c>
      <c r="D19" s="5" t="s">
        <v>67</v>
      </c>
      <c r="E19" s="5" t="s">
        <v>67</v>
      </c>
      <c r="F19" s="5" t="s">
        <v>67</v>
      </c>
      <c r="G19" s="5" t="s">
        <v>67</v>
      </c>
      <c r="H19" s="5" t="s">
        <v>67</v>
      </c>
    </row>
    <row r="20" spans="1:8" ht="15" customHeight="1">
      <c r="A20" s="5" t="s">
        <v>1</v>
      </c>
      <c r="B20" s="5" t="s">
        <v>184</v>
      </c>
      <c r="C20" s="5" t="s">
        <v>1</v>
      </c>
      <c r="D20" s="5" t="s">
        <v>1</v>
      </c>
      <c r="E20" s="5" t="s">
        <v>1</v>
      </c>
      <c r="F20" s="5" t="s">
        <v>1</v>
      </c>
      <c r="G20" s="5" t="s">
        <v>1</v>
      </c>
      <c r="H20" s="5" t="s">
        <v>1</v>
      </c>
    </row>
    <row r="21" spans="1:8" ht="15" customHeight="1">
      <c r="A21" s="8" t="s">
        <v>161</v>
      </c>
      <c r="B21" s="8" t="s">
        <v>334</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D39" sqref="D39"/>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7" t="s">
        <v>6</v>
      </c>
      <c r="B1" s="7" t="s">
        <v>335</v>
      </c>
      <c r="C1" s="7" t="s">
        <v>7</v>
      </c>
    </row>
    <row r="2" spans="1:3" ht="15" customHeight="1">
      <c r="A2" s="5" t="s">
        <v>67</v>
      </c>
      <c r="B2" s="5" t="s">
        <v>67</v>
      </c>
      <c r="C2" s="5" t="s">
        <v>67</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{'SheetId':'0e67e680-b807-4d33-99c0-7b78881f5ae3','UId':'9cbd5645-d1cc-4c66-9f84-d2f549c40baa','Col':4,'Row':3,'Format':'numberic','Value':'30107272607','TargetCode':''}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{'SheetId':'0e67e680-b807-4d33-99c0-7b78881f5ae3','UId':'99e568e1-5c2c-4711-855d-7b59f3d1cab6','Col':5,'Row':3,'Format':'numberic','Value':'3581372285','TargetCode':''}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{'SheetId':'0e67e680-b807-4d33-99c0-7b78881f5ae3','UId':'c69da7a3-02da-4c71-9ebc-1684c54f1afc','Col':6,'Row':3,'Format':'numberic','Value':'2.79542654644214','TargetCode':''}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 ','TargetCode':''}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 ','TargetCode':''}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 ','TargetCode':''}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{'SheetId':'0e67e680-b807-4d33-99c0-7b78881f5ae3','UId':'ff256832-31a8-4b18-a932-43bc9d1665b9','Col':4,'Row':6,'ColDynamic':4,'RowDynamic':5,'Format':'numberic','Value':'30107272607','TargetCode':''}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{'SheetId':'0e67e680-b807-4d33-99c0-7b78881f5ae3','UId':'a91ef888-5216-4368-893d-4bf54555e048','Col':5,'Row':6,'ColDynamic':5,'RowDynamic':5,'Format':'numberic','Value':'3581372285','TargetCode':''}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{'SheetId':'0e67e680-b807-4d33-99c0-7b78881f5ae3','UId':'0872eb3d-591d-41ae-88b3-07cc186bb076','Col':6,'Row':6,'ColDynamic':6,'RowDynamic':5,'Format':'numberic','Value':'2.79542654644214','TargetCode':''}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{'SheetId':'0e67e680-b807-4d33-99c0-7b78881f5ae3','UId':'c59bc369-ef6c-4ae7-8932-3d3cd7b0f999','Col':4,'Row':8,'ColDynamic':4,'RowDynamic':9,'Format':'numberic','Value':'123408995879','TargetCode':''}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{'SheetId':'0e67e680-b807-4d33-99c0-7b78881f5ae3','UId':'71da1168-8366-41b4-a97a-ac130f3a71ab','Col':5,'Row':8,'ColDynamic':5,'RowDynamic':9,'Format':'numberic','Value':'147579674132','TargetCode':''}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{'SheetId':'0e67e680-b807-4d33-99c0-7b78881f5ae3','UId':'3c022ada-eb27-4aed-bf94-d517130be29a','Col':6,'Row':8,'ColDynamic':6,'RowDynamic':9,'Format':'numberic','Value':'2.4425445190764','TargetCode':''}</v>
      </c>
    </row>
    <row r="22" ht="12.75">
      <c r="A22" t="str">
        <f>CONCATENATE("{'SheetId':'0e67e680-b807-4d33-99c0-7b78881f5ae3'",",","'UId':'ba2b6807-d3cf-4e7e-ae45-89e2239b81be'",",'Col':",COLUMN(BCTaiSan_06027!A12),",'Row':",ROW(BCTaiSan_06027!A12),",","'ColDynamic':",COLUMN(BCTaiSan_06027!A8),",","'RowDynamic':",ROW(BCTaiSan_06027!A8),",","'Format':'numberic'",",'Value':'",SUBSTITUTE(BCTaiSan_06027!A12,"'","\'"),"','TargetCode':''}")</f>
        <v>{'SheetId':'0e67e680-b807-4d33-99c0-7b78881f5ae3','UId':'ba2b6807-d3cf-4e7e-ae45-89e2239b81be','Col':1,'Row':12,'ColDynamic':1,'RowDynamic':8,'Format':'numberic','Value':'','TargetCode':''}</v>
      </c>
    </row>
    <row r="23" ht="12.75">
      <c r="A23" t="str">
        <f>CONCATENATE("{'SheetId':'0e67e680-b807-4d33-99c0-7b78881f5ae3'",",","'UId':'80fabe68-3c28-49f8-84cd-635610bc3cfb'",",'Col':",COLUMN(BCTaiSan_06027!B12),",'Row':",ROW(BCTaiSan_06027!B12),",","'ColDynamic':",COLUMN(BCTaiSan_06027!B8),",","'RowDynamic':",ROW(BCTaiSan_06027!B8),",","'Format':'string'",",'Value':'",SUBSTITUTE(BCTaiSan_06027!B12,"'","\'"),"','TargetCode':''}")</f>
        <v>{'SheetId':'0e67e680-b807-4d33-99c0-7b78881f5ae3','UId':'80fabe68-3c28-49f8-84cd-635610bc3cfb','Col':2,'Row':12,'ColDynamic':2,'RowDynamic':8,'Format':'string','Value':'Quyền mua','TargetCode':''}</v>
      </c>
    </row>
    <row r="24" ht="12.75">
      <c r="A24" t="str">
        <f>CONCATENATE("{'SheetId':'0e67e680-b807-4d33-99c0-7b78881f5ae3'",",","'UId':'14b822e4-b397-46cc-ae75-1870f955de3d'",",'Col':",COLUMN(BCTaiSan_06027!C12),",'Row':",ROW(BCTaiSan_06027!C12),",","'ColDynamic':",COLUMN(BCTaiSan_06027!C8),",","'RowDynamic':",ROW(BCTaiSan_06027!C8),",","'Format':'numberic'",",'Value':'",SUBSTITUTE(BCTaiSan_06027!C12,"'","\'"),"','TargetCode':''}")</f>
        <v>{'SheetId':'0e67e680-b807-4d33-99c0-7b78881f5ae3','UId':'14b822e4-b397-46cc-ae75-1870f955de3d','Col':3,'Row':12,'ColDynamic':3,'RowDynamic':8,'Format':'numberic','Value':'2205.4','TargetCode':''}</v>
      </c>
    </row>
    <row r="25" ht="12.75">
      <c r="A25" t="str">
        <f>CONCATENATE("{'SheetId':'0e67e680-b807-4d33-99c0-7b78881f5ae3'",",","'UId':'b8149440-102f-40c1-888b-ecbcac315c2f'",",'Col':",COLUMN(BCTaiSan_06027!D12),",'Row':",ROW(BCTaiSan_06027!D12),",","'ColDynamic':",COLUMN(BCTaiSan_06027!D8),",","'RowDynamic':",ROW(BCTaiSan_06027!D8),",","'Format':'numberic'",",'Value':'",SUBSTITUTE(BCTaiSan_06027!D12,"'","\'"),"','TargetCode':''}")</f>
        <v>{'SheetId':'0e67e680-b807-4d33-99c0-7b78881f5ae3','UId':'b8149440-102f-40c1-888b-ecbcac315c2f','Col':4,'Row':12,'ColDynamic':4,'RowDynamic':8,'Format':'numberic','Value':' ','TargetCode':''}</v>
      </c>
    </row>
    <row r="26" ht="12.75">
      <c r="A26" t="str">
        <f>CONCATENATE("{'SheetId':'0e67e680-b807-4d33-99c0-7b78881f5ae3'",",","'UId':'c07f2502-4acc-490f-ac11-f416fd5d4af2'",",'Col':",COLUMN(BCTaiSan_06027!E12),",'Row':",ROW(BCTaiSan_06027!E12),",","'ColDynamic':",COLUMN(BCTaiSan_06027!E8),",","'RowDynamic':",ROW(BCTaiSan_06027!E8),",","'Format':'numberic'",",'Value':'",SUBSTITUTE(BCTaiSan_06027!E12,"'","\'"),"','TargetCode':''}")</f>
        <v>{'SheetId':'0e67e680-b807-4d33-99c0-7b78881f5ae3','UId':'c07f2502-4acc-490f-ac11-f416fd5d4af2','Col':5,'Row':12,'ColDynamic':5,'RowDynamic':8,'Format':'numberic','Value':' ','TargetCode':''}</v>
      </c>
    </row>
    <row r="27" ht="12.75">
      <c r="A27" t="str">
        <f>CONCATENATE("{'SheetId':'0e67e680-b807-4d33-99c0-7b78881f5ae3'",",","'UId':'1f2e67f4-aa74-416d-b513-cc35fc47fc89'",",'Col':",COLUMN(BCTaiSan_06027!F12),",'Row':",ROW(BCTaiSan_06027!F12),",","'ColDynamic':",COLUMN(BCTaiSan_06027!F8),",","'RowDynamic':",ROW(BCTaiSan_06027!F8),",","'Format':'numberic'",",'Value':'",SUBSTITUTE(BCTaiSan_06027!F12,"'","\'"),"','TargetCode':''}")</f>
        <v>{'SheetId':'0e67e680-b807-4d33-99c0-7b78881f5ae3','UId':'1f2e67f4-aa74-416d-b513-cc35fc47fc89','Col':6,'Row':12,'ColDynamic':6,'RowDynamic':8,'Format':'numberic','Value':' ','TargetCode':''}</v>
      </c>
    </row>
    <row r="28" ht="12.75">
      <c r="A28" t="str">
        <f>CONCATENATE("{'SheetId':'0e67e680-b807-4d33-99c0-7b78881f5ae3'",",","'UId':'19fdf401-8f84-4529-8406-9bf3720c81ee'",",'Col':",COLUMN(BCTaiSan_06027!D13),",'Row':",ROW(BCTaiSan_06027!D13),",","'Format':'numberic'",",'Value':'",SUBSTITUTE(BCTaiSan_06027!D13,"'","\'"),"','TargetCode':''}")</f>
        <v>{'SheetId':'0e67e680-b807-4d33-99c0-7b78881f5ae3','UId':'19fdf401-8f84-4529-8406-9bf3720c81ee','Col':4,'Row':13,'Format':'numberic','Value':'','TargetCode':''}</v>
      </c>
    </row>
    <row r="29" ht="12.75">
      <c r="A29" t="str">
        <f>CONCATENATE("{'SheetId':'0e67e680-b807-4d33-99c0-7b78881f5ae3'",",","'UId':'23400615-8c2c-4ac4-ad17-e281f9ea4ede'",",'Col':",COLUMN(BCTaiSan_06027!E13),",'Row':",ROW(BCTaiSan_06027!E13),",","'Format':'numberic'",",'Value':'",SUBSTITUTE(BCTaiSan_06027!E13,"'","\'"),"','TargetCode':''}")</f>
        <v>{'SheetId':'0e67e680-b807-4d33-99c0-7b78881f5ae3','UId':'23400615-8c2c-4ac4-ad17-e281f9ea4ede','Col':5,'Row':13,'Format':'numberic','Value':'','TargetCode':''}</v>
      </c>
    </row>
    <row r="30" ht="12.75">
      <c r="A30" t="str">
        <f>CONCATENATE("{'SheetId':'0e67e680-b807-4d33-99c0-7b78881f5ae3'",",","'UId':'81f9c1fb-a190-42a2-964f-1f7790423cc5'",",'Col':",COLUMN(BCTaiSan_06027!F13),",'Row':",ROW(BCTaiSan_06027!F13),",","'Format':'numberic'",",'Value':'",SUBSTITUTE(BCTaiSan_06027!F13,"'","\'"),"','TargetCode':''}")</f>
        <v>{'SheetId':'0e67e680-b807-4d33-99c0-7b78881f5ae3','UId':'81f9c1fb-a190-42a2-964f-1f7790423cc5','Col':6,'Row':13,'Format':'numberic','Value':'','TargetCode':''}</v>
      </c>
    </row>
    <row r="31" ht="12.75">
      <c r="A31" t="str">
        <f>CONCATENATE("{'SheetId':'0e67e680-b807-4d33-99c0-7b78881f5ae3'",",","'UId':'b4c0ee30-dd77-4ee0-8b84-0eca9c6aef84'",",'Col':",COLUMN(BCTaiSan_06027!A15),",'Row':",ROW(BCTaiSan_06027!A15),",","'ColDynamic':",COLUMN(BCTaiSan_06027!A14),",","'RowDynamic':",ROW(BCTaiSan_06027!A14),",","'Format':'string'",",'Value':'",SUBSTITUTE(BCTaiSan_06027!A15,"'","\'"),"','TargetCode':''}")</f>
        <v>{'SheetId':'0e67e680-b807-4d33-99c0-7b78881f5ae3','UId':'b4c0ee30-dd77-4ee0-8b84-0eca9c6aef84','Col':1,'Row':15,'ColDynamic':1,'RowDynamic':14,'Format':'string','Value':'I.4','TargetCode':''}</v>
      </c>
    </row>
    <row r="32" ht="12.75">
      <c r="A32" t="str">
        <f>CONCATENATE("{'SheetId':'0e67e680-b807-4d33-99c0-7b78881f5ae3'",",","'UId':'55c7b2c2-f5f8-4a72-8e4a-040eb2c74cf1'",",'Col':",COLUMN(BCTaiSan_06027!B15),",'Row':",ROW(BCTaiSan_06027!B15),",","'ColDynamic':",COLUMN(BCTaiSan_06027!B14),",","'RowDynamic':",ROW(BCTaiSan_06027!B14),",","'Format':'string'",",'Value':'",SUBSTITUTE(BCTaiSan_06027!B15,"'","\'"),"','TargetCode':''}")</f>
        <v>{'SheetId':'0e67e680-b807-4d33-99c0-7b78881f5ae3','UId':'55c7b2c2-f5f8-4a72-8e4a-040eb2c74cf1','Col':2,'Row':15,'ColDynamic':2,'RowDynamic':14,'Format':'string','Value':'Cổ tức, trái tức được nhận','TargetCode':''}</v>
      </c>
    </row>
    <row r="33" ht="12.75">
      <c r="A33" t="str">
        <f>CONCATENATE("{'SheetId':'0e67e680-b807-4d33-99c0-7b78881f5ae3'",",","'UId':'353bc353-1898-4fe5-b702-b1e9dbee7e4d'",",'Col':",COLUMN(BCTaiSan_06027!C15),",'Row':",ROW(BCTaiSan_06027!C15),",","'ColDynamic':",COLUMN(BCTaiSan_06027!C14),",","'RowDynamic':",ROW(BCTaiSan_06027!C14),",","'Format':'string'",",'Value':'",SUBSTITUTE(BCTaiSan_06027!C15,"'","\'"),"','TargetCode':''}")</f>
        <v>{'SheetId':'0e67e680-b807-4d33-99c0-7b78881f5ae3','UId':'353bc353-1898-4fe5-b702-b1e9dbee7e4d','Col':3,'Row':15,'ColDynamic':3,'RowDynamic':14,'Format':'string','Value':'2206','TargetCode':''}</v>
      </c>
    </row>
    <row r="34" ht="12.75">
      <c r="A34" t="str">
        <f>CONCATENATE("{'SheetId':'0e67e680-b807-4d33-99c0-7b78881f5ae3'",",","'UId':'aaa47aee-de9e-4a72-aaac-e89970beaace'",",'Col':",COLUMN(BCTaiSan_06027!D15),",'Row':",ROW(BCTaiSan_06027!D15),",","'ColDynamic':",COLUMN(BCTaiSan_06027!D14),",","'RowDynamic':",ROW(BCTaiSan_06027!D14),",","'Format':'numberic'",",'Value':'",SUBSTITUTE(BCTaiSan_06027!D15,"'","\'"),"','TargetCode':''}")</f>
        <v>{'SheetId':'0e67e680-b807-4d33-99c0-7b78881f5ae3','UId':'aaa47aee-de9e-4a72-aaac-e89970beaace','Col':4,'Row':15,'ColDynamic':4,'RowDynamic':14,'Format':'numberic','Value':'1206922663','TargetCode':''}</v>
      </c>
    </row>
    <row r="35" ht="12.75">
      <c r="A35" t="str">
        <f>CONCATENATE("{'SheetId':'0e67e680-b807-4d33-99c0-7b78881f5ae3'",",","'UId':'c31cdabe-83ce-456c-8300-7b06d46f81cc'",",'Col':",COLUMN(BCTaiSan_06027!E15),",'Row':",ROW(BCTaiSan_06027!E15),",","'ColDynamic':",COLUMN(BCTaiSan_06027!E14),",","'RowDynamic':",ROW(BCTaiSan_06027!E14),",","'Format':'numberic'",",'Value':'",SUBSTITUTE(BCTaiSan_06027!E15,"'","\'"),"','TargetCode':''}")</f>
        <v>{'SheetId':'0e67e680-b807-4d33-99c0-7b78881f5ae3','UId':'c31cdabe-83ce-456c-8300-7b06d46f81cc','Col':5,'Row':15,'ColDynamic':5,'RowDynamic':14,'Format':'numberic','Value':'2219361308','TargetCode':''}</v>
      </c>
    </row>
    <row r="36" ht="12.75">
      <c r="A36" t="str">
        <f>CONCATENATE("{'SheetId':'0e67e680-b807-4d33-99c0-7b78881f5ae3'",",","'UId':'df064eb2-539c-42cd-9667-ecd8effb04f7'",",'Col':",COLUMN(BCTaiSan_06027!F15),",'Row':",ROW(BCTaiSan_06027!F15),",","'ColDynamic':",COLUMN(BCTaiSan_06027!F14),",","'RowDynamic':",ROW(BCTaiSan_06027!F14),",","'Format':'numberic'",",'Value':'",SUBSTITUTE(BCTaiSan_06027!F15,"'","\'"),"','TargetCode':''}")</f>
        <v>{'SheetId':'0e67e680-b807-4d33-99c0-7b78881f5ae3','UId':'df064eb2-539c-42cd-9667-ecd8effb04f7','Col':6,'Row':15,'ColDynamic':6,'RowDynamic':14,'Format':'numberic','Value':'2.02494028782339','TargetCode':''}</v>
      </c>
    </row>
    <row r="37" ht="12.75">
      <c r="A37" t="str">
        <f>CONCATENATE("{'SheetId':'0e67e680-b807-4d33-99c0-7b78881f5ae3'",",","'UId':'ebf03302-905f-4429-bd11-8a0e8477bdcc'",",'Col':",COLUMN(BCTaiSan_06027!A17),",'Row':",ROW(BCTaiSan_06027!A17),",","'ColDynamic':",COLUMN(BCTaiSan_06027!A13),",","'RowDynamic':",ROW(BCTaiSan_06027!A13),",","'Format':'numberic'",",'Value':'",SUBSTITUTE(BCTaiSan_06027!A17,"'","\'"),"','TargetCode':''}")</f>
        <v>{'SheetId':'0e67e680-b807-4d33-99c0-7b78881f5ae3','UId':'ebf03302-905f-4429-bd11-8a0e8477bdcc','Col':1,'Row':17,'ColDynamic':1,'RowDynamic':13,'Format':'numberic','Value':'','TargetCode':''}</v>
      </c>
    </row>
    <row r="38" ht="12.75">
      <c r="A38" t="str">
        <f>CONCATENATE("{'SheetId':'0e67e680-b807-4d33-99c0-7b78881f5ae3'",",","'UId':'3de36bfb-b19c-4de9-bf25-827f3b8027bf'",",'Col':",COLUMN(BCTaiSan_06027!B17),",'Row':",ROW(BCTaiSan_06027!B17),",","'ColDynamic':",COLUMN(BCTaiSan_06027!B13),",","'RowDynamic':",ROW(BCTaiSan_06027!B13),",","'Format':'string'",",'Value':'",SUBSTITUTE(BCTaiSan_06027!B17,"'","\'"),"','TargetCode':''}")</f>
        <v>{'SheetId':'0e67e680-b807-4d33-99c0-7b78881f5ae3','UId':'3de36bfb-b19c-4de9-bf25-827f3b8027bf','Col':2,'Row':17,'ColDynamic':2,'RowDynamic':13,'Format':'string','Value':'','TargetCode':''}</v>
      </c>
    </row>
    <row r="39" ht="12.75">
      <c r="A39" t="str">
        <f>CONCATENATE("{'SheetId':'0e67e680-b807-4d33-99c0-7b78881f5ae3'",",","'UId':'ca7cc9ff-75c2-4a73-a531-b206f65419ec'",",'Col':",COLUMN(BCTaiSan_06027!C17),",'Row':",ROW(BCTaiSan_06027!C17),",","'ColDynamic':",COLUMN(BCTaiSan_06027!C13),",","'RowDynamic':",ROW(BCTaiSan_06027!C13),",","'Format':'numberic'",",'Value':'",SUBSTITUTE(BCTaiSan_06027!C17,"'","\'"),"','TargetCode':''}")</f>
        <v>{'SheetId':'0e67e680-b807-4d33-99c0-7b78881f5ae3','UId':'ca7cc9ff-75c2-4a73-a531-b206f65419ec','Col':3,'Row':17,'ColDynamic':3,'RowDynamic':13,'Format':'numberic','Value':'','TargetCode':''}</v>
      </c>
    </row>
    <row r="40" ht="12.75">
      <c r="A40" t="str">
        <f>CONCATENATE("{'SheetId':'0e67e680-b807-4d33-99c0-7b78881f5ae3'",",","'UId':'85258d35-57c4-470f-8e91-0e5eb1b5f98e'",",'Col':",COLUMN(BCTaiSan_06027!D17),",'Row':",ROW(BCTaiSan_06027!D17),",","'ColDynamic':",COLUMN(BCTaiSan_06027!D13),",","'RowDynamic':",ROW(BCTaiSan_06027!D13),",","'Format':'numberic'",",'Value':'",SUBSTITUTE(BCTaiSan_06027!D17,"'","\'"),"','TargetCode':''}")</f>
        <v>{'SheetId':'0e67e680-b807-4d33-99c0-7b78881f5ae3','UId':'85258d35-57c4-470f-8e91-0e5eb1b5f98e','Col':4,'Row':17,'ColDynamic':4,'RowDynamic':13,'Format':'numberic','Value':'','TargetCode':''}</v>
      </c>
    </row>
    <row r="41" ht="12.75">
      <c r="A41" t="str">
        <f>CONCATENATE("{'SheetId':'0e67e680-b807-4d33-99c0-7b78881f5ae3'",",","'UId':'b7831eb0-d957-42e3-b024-b595e932c4c4'",",'Col':",COLUMN(BCTaiSan_06027!E17),",'Row':",ROW(BCTaiSan_06027!E17),",","'ColDynamic':",COLUMN(BCTaiSan_06027!E13),",","'RowDynamic':",ROW(BCTaiSan_06027!E13),",","'Format':'numberic'",",'Value':'",SUBSTITUTE(BCTaiSan_06027!E17,"'","\'"),"','TargetCode':''}")</f>
        <v>{'SheetId':'0e67e680-b807-4d33-99c0-7b78881f5ae3','UId':'b7831eb0-d957-42e3-b024-b595e932c4c4','Col':5,'Row':17,'ColDynamic':5,'RowDynamic':13,'Format':'numberic','Value':'','TargetCode':''}</v>
      </c>
    </row>
    <row r="42" ht="12.75">
      <c r="A42" t="str">
        <f>CONCATENATE("{'SheetId':'0e67e680-b807-4d33-99c0-7b78881f5ae3'",",","'UId':'159c2c62-ad7f-4978-87f5-48256ed29f55'",",'Col':",COLUMN(BCTaiSan_06027!F17),",'Row':",ROW(BCTaiSan_06027!F17),",","'ColDynamic':",COLUMN(BCTaiSan_06027!F13),",","'RowDynamic':",ROW(BCTaiSan_06027!F13),",","'Format':'numberic'",",'Value':'",SUBSTITUTE(BCTaiSan_06027!F17,"'","\'"),"','TargetCode':''}")</f>
        <v>{'SheetId':'0e67e680-b807-4d33-99c0-7b78881f5ae3','UId':'159c2c62-ad7f-4978-87f5-48256ed29f55','Col':6,'Row':17,'ColDynamic':6,'RowDynamic':13,'Format':'numberic','Value':'','TargetCode':''}</v>
      </c>
    </row>
    <row r="43" ht="12.75">
      <c r="A43" t="str">
        <f>CONCATENATE("{'SheetId':'0e67e680-b807-4d33-99c0-7b78881f5ae3'",",","'UId':'4db3253d-9c46-4d6e-918f-a429377ea210'",",'Col':",COLUMN(BCTaiSan_06027!D18),",'Row':",ROW(BCTaiSan_06027!D18),",","'Format':'numberic'",",'Value':'",SUBSTITUTE(BCTaiSan_06027!D18,"'","\'"),"','TargetCode':''}")</f>
        <v>{'SheetId':'0e67e680-b807-4d33-99c0-7b78881f5ae3','UId':'4db3253d-9c46-4d6e-918f-a429377ea210','Col':4,'Row':18,'Format':'numberic','Value':'1288866083','TargetCode':''}</v>
      </c>
    </row>
    <row r="44" ht="12.75">
      <c r="A44" t="str">
        <f>CONCATENATE("{'SheetId':'0e67e680-b807-4d33-99c0-7b78881f5ae3'",",","'UId':'1b5619ce-07bd-4f38-b89d-ff10d4440cfc'",",'Col':",COLUMN(BCTaiSan_06027!E18),",'Row':",ROW(BCTaiSan_06027!E18),",","'Format':'numberic'",",'Value':'",SUBSTITUTE(BCTaiSan_06027!E18,"'","\'"),"','TargetCode':''}")</f>
        <v>{'SheetId':'0e67e680-b807-4d33-99c0-7b78881f5ae3','UId':'1b5619ce-07bd-4f38-b89d-ff10d4440cfc','Col':5,'Row':18,'Format':'numberic','Value':'1527276687','TargetCode':''}</v>
      </c>
    </row>
    <row r="45" ht="12.75">
      <c r="A45" t="str">
        <f>CONCATENATE("{'SheetId':'0e67e680-b807-4d33-99c0-7b78881f5ae3'",",","'UId':'e662b89a-1c2d-4d21-94c4-5d786440cb11'",",'Col':",COLUMN(BCTaiSan_06027!F18),",'Row':",ROW(BCTaiSan_06027!F18),",","'Format':'numberic'",",'Value':'",SUBSTITUTE(BCTaiSan_06027!F18,"'","\'"),"','TargetCode':''}")</f>
        <v>{'SheetId':'0e67e680-b807-4d33-99c0-7b78881f5ae3','UId':'e662b89a-1c2d-4d21-94c4-5d786440cb11','Col':6,'Row':18,'Format':'numberic','Value':'0.656348013150454','TargetCode':''}</v>
      </c>
    </row>
    <row r="46" ht="12.75">
      <c r="A46" t="str">
        <f>CONCATENATE("{'SheetId':'0e67e680-b807-4d33-99c0-7b78881f5ae3'",",","'UId':'f1ed2509-c4ff-4ae9-b430-d4f9ddcf73ac'",",'Col':",COLUMN(BCTaiSan_06027!A20),",'Row':",ROW(BCTaiSan_06027!A20),",","'ColDynamic':",COLUMN(BCTaiSan_06027!A16),",","'RowDynamic':",ROW(BCTaiSan_06027!A16),",","'Format':'numberic'",",'Value':'",SUBSTITUTE(BCTaiSan_06027!A20,"'","\'"),"','TargetCode':''}")</f>
        <v>{'SheetId':'0e67e680-b807-4d33-99c0-7b78881f5ae3','UId':'f1ed2509-c4ff-4ae9-b430-d4f9ddcf73ac','Col':1,'Row':20,'ColDynamic':1,'RowDynamic':16,'Format':'numberic','Value':'','TargetCode':''}</v>
      </c>
    </row>
    <row r="47" ht="12.75">
      <c r="A47" t="str">
        <f>CONCATENATE("{'SheetId':'0e67e680-b807-4d33-99c0-7b78881f5ae3'",",","'UId':'a0aac484-78db-4dea-8f00-f980c5366deb'",",'Col':",COLUMN(BCTaiSan_06027!B20),",'Row':",ROW(BCTaiSan_06027!B20),",","'ColDynamic':",COLUMN(BCTaiSan_06027!B16),",","'RowDynamic':",ROW(BCTaiSan_06027!B16),",","'Format':'string'",",'Value':'",SUBSTITUTE(BCTaiSan_06027!B20,"'","\'"),"','TargetCode':''}")</f>
        <v>{'SheetId':'0e67e680-b807-4d33-99c0-7b78881f5ae3','UId':'a0aac484-78db-4dea-8f00-f980c5366deb','Col':2,'Row':20,'ColDynamic':2,'RowDynamic':16,'Format':'string','Value':'','TargetCode':''}</v>
      </c>
    </row>
    <row r="48" ht="12.75">
      <c r="A48" t="str">
        <f>CONCATENATE("{'SheetId':'0e67e680-b807-4d33-99c0-7b78881f5ae3'",",","'UId':'57124953-4b8d-461b-9e2b-2d368273b709'",",'Col':",COLUMN(BCTaiSan_06027!C20),",'Row':",ROW(BCTaiSan_06027!C20),",","'ColDynamic':",COLUMN(BCTaiSan_06027!C16),",","'RowDynamic':",ROW(BCTaiSan_06027!C16),",","'Format':'numberic'",",'Value':'",SUBSTITUTE(BCTaiSan_06027!C20,"'","\'"),"','TargetCode':''}")</f>
        <v>{'SheetId':'0e67e680-b807-4d33-99c0-7b78881f5ae3','UId':'57124953-4b8d-461b-9e2b-2d368273b709','Col':3,'Row':20,'ColDynamic':3,'RowDynamic':16,'Format':'numberic','Value':'','TargetCode':''}</v>
      </c>
    </row>
    <row r="49" ht="12.75">
      <c r="A49" t="str">
        <f>CONCATENATE("{'SheetId':'0e67e680-b807-4d33-99c0-7b78881f5ae3'",",","'UId':'2cc09d96-6086-4dda-b944-4d886ecbb0d8'",",'Col':",COLUMN(BCTaiSan_06027!D20),",'Row':",ROW(BCTaiSan_06027!D20),",","'ColDynamic':",COLUMN(BCTaiSan_06027!D16),",","'RowDynamic':",ROW(BCTaiSan_06027!D16),",","'Format':'numberic'",",'Value':'",SUBSTITUTE(BCTaiSan_06027!D20,"'","\'"),"','TargetCode':''}")</f>
        <v>{'SheetId':'0e67e680-b807-4d33-99c0-7b78881f5ae3','UId':'2cc09d96-6086-4dda-b944-4d886ecbb0d8','Col':4,'Row':20,'ColDynamic':4,'RowDynamic':16,'Format':'numberic','Value':'','TargetCode':''}</v>
      </c>
    </row>
    <row r="50" ht="12.75">
      <c r="A50" t="str">
        <f>CONCATENATE("{'SheetId':'0e67e680-b807-4d33-99c0-7b78881f5ae3'",",","'UId':'7b7d0fb3-4da0-4490-a267-504a23e39de9'",",'Col':",COLUMN(BCTaiSan_06027!E20),",'Row':",ROW(BCTaiSan_06027!E20),",","'ColDynamic':",COLUMN(BCTaiSan_06027!E16),",","'RowDynamic':",ROW(BCTaiSan_06027!E16),",","'Format':'numberic'",",'Value':'",SUBSTITUTE(BCTaiSan_06027!E20,"'","\'"),"','TargetCode':''}")</f>
        <v>{'SheetId':'0e67e680-b807-4d33-99c0-7b78881f5ae3','UId':'7b7d0fb3-4da0-4490-a267-504a23e39de9','Col':5,'Row':20,'ColDynamic':5,'RowDynamic':16,'Format':'numberic','Value':'','TargetCode':''}</v>
      </c>
    </row>
    <row r="51" ht="12.75">
      <c r="A51" t="str">
        <f>CONCATENATE("{'SheetId':'0e67e680-b807-4d33-99c0-7b78881f5ae3'",",","'UId':'528d14e8-1a6c-45f0-97ec-807048f5c747'",",'Col':",COLUMN(BCTaiSan_06027!F20),",'Row':",ROW(BCTaiSan_06027!F20),",","'ColDynamic':",COLUMN(BCTaiSan_06027!F16),",","'RowDynamic':",ROW(BCTaiSan_06027!F16),",","'Format':'numberic'",",'Value':'",SUBSTITUTE(BCTaiSan_06027!F20,"'","\'"),"','TargetCode':''}")</f>
        <v>{'SheetId':'0e67e680-b807-4d33-99c0-7b78881f5ae3','UId':'528d14e8-1a6c-45f0-97ec-807048f5c747','Col':6,'Row':20,'ColDynamic':6,'RowDynamic':16,'Format':'numberic','Value':'','TargetCode':''}</v>
      </c>
    </row>
    <row r="52" ht="12.75">
      <c r="A52" t="str">
        <f>CONCATENATE("{'SheetId':'0e67e680-b807-4d33-99c0-7b78881f5ae3'",",","'UId':'2955d8e1-bb85-470d-810e-e670e4ee9763'",",'Col':",COLUMN(BCTaiSan_06027!D21),",'Row':",ROW(BCTaiSan_06027!D21),",","'Format':'numberic'",",'Value':'",SUBSTITUTE(BCTaiSan_06027!D21,"'","\'"),"','TargetCode':''}")</f>
        <v>{'SheetId':'0e67e680-b807-4d33-99c0-7b78881f5ae3','UId':'2955d8e1-bb85-470d-810e-e670e4ee9763','Col':4,'Row':21,'Format':'numberic','Value':'','TargetCode':''}</v>
      </c>
    </row>
    <row r="53" ht="12.75">
      <c r="A53" t="str">
        <f>CONCATENATE("{'SheetId':'0e67e680-b807-4d33-99c0-7b78881f5ae3'",",","'UId':'54c4f244-7feb-4326-af72-7b2f8cf16a37'",",'Col':",COLUMN(BCTaiSan_06027!E21),",'Row':",ROW(BCTaiSan_06027!E21),",","'Format':'numberic'",",'Value':'",SUBSTITUTE(BCTaiSan_06027!E21,"'","\'"),"','TargetCode':''}")</f>
        <v>{'SheetId':'0e67e680-b807-4d33-99c0-7b78881f5ae3','UId':'54c4f244-7feb-4326-af72-7b2f8cf16a37','Col':5,'Row':21,'Format':'numberic','Value':'','TargetCode':''}</v>
      </c>
    </row>
    <row r="54" ht="12.75">
      <c r="A54" t="str">
        <f>CONCATENATE("{'SheetId':'0e67e680-b807-4d33-99c0-7b78881f5ae3'",",","'UId':'9670a190-b315-4332-be4b-7bd49a951b82'",",'Col':",COLUMN(BCTaiSan_06027!F21),",'Row':",ROW(BCTaiSan_06027!F21),",","'Format':'numberic'",",'Value':'",SUBSTITUTE(BCTaiSan_06027!F21,"'","\'"),"','TargetCode':''}")</f>
        <v>{'SheetId':'0e67e680-b807-4d33-99c0-7b78881f5ae3','UId':'9670a190-b315-4332-be4b-7bd49a951b82','Col':6,'Row':21,'Format':'numberic','Value':'','TargetCode':''}</v>
      </c>
    </row>
    <row r="55" ht="12.75">
      <c r="A55" t="str">
        <f>CONCATENATE("{'SheetId':'0e67e680-b807-4d33-99c0-7b78881f5ae3'",",","'UId':'f6e8f96a-7d1a-40c6-83bc-7f810f0d4bca'",",'Col':",COLUMN(BCTaiSan_06027!A23),",'Row':",ROW(BCTaiSan_06027!A23),",","'ColDynamic':",COLUMN(BCTaiSan_06027!A22),",","'RowDynamic':",ROW(BCTaiSan_06027!A22),",","'Format':'string'",",'Value':'",SUBSTITUTE(BCTaiSan_06027!A23,"'","\'"),"','TargetCode':''}")</f>
        <v>{'SheetId':'0e67e680-b807-4d33-99c0-7b78881f5ae3','UId':'f6e8f96a-7d1a-40c6-83bc-7f810f0d4bca','Col':1,'Row':23,'ColDynamic':1,'RowDynamic':22,'Format':'string','Value':'I.7','TargetCode':''}</v>
      </c>
    </row>
    <row r="56" ht="12.75">
      <c r="A56" t="str">
        <f>CONCATENATE("{'SheetId':'0e67e680-b807-4d33-99c0-7b78881f5ae3'",",","'UId':'7c64f929-b467-4787-9955-f41bc6936b40'",",'Col':",COLUMN(BCTaiSan_06027!B23),",'Row':",ROW(BCTaiSan_06027!B23),",","'ColDynamic':",COLUMN(BCTaiSan_06027!B22),",","'RowDynamic':",ROW(BCTaiSan_06027!B22),",","'Format':'string'",",'Value':'",SUBSTITUTE(BCTaiSan_06027!B23,"'","\'"),"','TargetCode':''}")</f>
        <v>{'SheetId':'0e67e680-b807-4d33-99c0-7b78881f5ae3','UId':'7c64f929-b467-4787-9955-f41bc6936b40','Col':2,'Row':23,'ColDynamic':2,'RowDynamic':22,'Format':'string','Value':'Tiền bán chứng khoán chờ thu (kê chi tiết)','TargetCode':''}</v>
      </c>
    </row>
    <row r="57" ht="12.75">
      <c r="A57" t="str">
        <f>CONCATENATE("{'SheetId':'0e67e680-b807-4d33-99c0-7b78881f5ae3'",",","'UId':'730f40b2-130a-4097-88f9-f009a3862b90'",",'Col':",COLUMN(BCTaiSan_06027!C23),",'Row':",ROW(BCTaiSan_06027!C23),",","'ColDynamic':",COLUMN(BCTaiSan_06027!C22),",","'RowDynamic':",ROW(BCTaiSan_06027!C22),",","'Format':'string'",",'Value':'",SUBSTITUTE(BCTaiSan_06027!C23,"'","\'"),"','TargetCode':''}")</f>
        <v>{'SheetId':'0e67e680-b807-4d33-99c0-7b78881f5ae3','UId':'730f40b2-130a-4097-88f9-f009a3862b90','Col':3,'Row':23,'ColDynamic':3,'RowDynamic':22,'Format':'string','Value':'2208','TargetCode':''}</v>
      </c>
    </row>
    <row r="58" ht="12.75">
      <c r="A58" t="str">
        <f>CONCATENATE("{'SheetId':'0e67e680-b807-4d33-99c0-7b78881f5ae3'",",","'UId':'fd93a4a0-c67a-4490-8678-85ab28c59627'",",'Col':",COLUMN(BCTaiSan_06027!D23),",'Row':",ROW(BCTaiSan_06027!D23),",","'ColDynamic':",COLUMN(BCTaiSan_06027!D22),",","'RowDynamic':",ROW(BCTaiSan_06027!D22),",","'Format':'numberic'",",'Value':'",SUBSTITUTE(BCTaiSan_06027!D23,"'","\'"),"','TargetCode':''}")</f>
        <v>{'SheetId':'0e67e680-b807-4d33-99c0-7b78881f5ae3','UId':'fd93a4a0-c67a-4490-8678-85ab28c59627','Col':4,'Row':23,'ColDynamic':4,'RowDynamic':22,'Format':'numberic','Value':' ','TargetCode':''}</v>
      </c>
    </row>
    <row r="59" ht="12.75">
      <c r="A59" t="str">
        <f>CONCATENATE("{'SheetId':'0e67e680-b807-4d33-99c0-7b78881f5ae3'",",","'UId':'fcf911ca-e231-4e37-ba04-31a4d132b264'",",'Col':",COLUMN(BCTaiSan_06027!E23),",'Row':",ROW(BCTaiSan_06027!E23),",","'ColDynamic':",COLUMN(BCTaiSan_06027!E22),",","'RowDynamic':",ROW(BCTaiSan_06027!E22),",","'Format':'numberic'",",'Value':'",SUBSTITUTE(BCTaiSan_06027!E23,"'","\'"),"','TargetCode':''}")</f>
        <v>{'SheetId':'0e67e680-b807-4d33-99c0-7b78881f5ae3','UId':'fcf911ca-e231-4e37-ba04-31a4d132b264','Col':5,'Row':23,'ColDynamic':5,'RowDynamic':22,'Format':'numberic','Value':' ','TargetCode':''}</v>
      </c>
    </row>
    <row r="60" ht="12.75">
      <c r="A60" t="str">
        <f>CONCATENATE("{'SheetId':'0e67e680-b807-4d33-99c0-7b78881f5ae3'",",","'UId':'2d289968-fbe5-4b0a-bf5f-8a6df071d197'",",'Col':",COLUMN(BCTaiSan_06027!F23),",'Row':",ROW(BCTaiSan_06027!F23),",","'ColDynamic':",COLUMN(BCTaiSan_06027!F22),",","'RowDynamic':",ROW(BCTaiSan_06027!F22),",","'Format':'numberic'",",'Value':'",SUBSTITUTE(BCTaiSan_06027!F23,"'","\'"),"','TargetCode':''}")</f>
        <v>{'SheetId':'0e67e680-b807-4d33-99c0-7b78881f5ae3','UId':'2d289968-fbe5-4b0a-bf5f-8a6df071d197','Col':6,'Row':23,'ColDynamic':6,'RowDynamic':22,'Format':'numberic','Value':' ','TargetCode':''}</v>
      </c>
    </row>
    <row r="61" ht="12.75">
      <c r="A61" t="str">
        <f>CONCATENATE("{'SheetId':'0e67e680-b807-4d33-99c0-7b78881f5ae3'",",","'UId':'429113b4-21c3-4d2d-a49e-e54b8fa3448b'",",'Col':",COLUMN(BCTaiSan_06027!A25),",'Row':",ROW(BCTaiSan_06027!A25),",","'ColDynamic':",COLUMN(BCTaiSan_06027!A15),",","'RowDynamic':",ROW(BCTaiSan_06027!A15),",","'Format':'numberic'",",'Value':'",SUBSTITUTE(BCTaiSan_06027!A25,"'","\'"),"','TargetCode':''}")</f>
        <v>{'SheetId':'0e67e680-b807-4d33-99c0-7b78881f5ae3','UId':'429113b4-21c3-4d2d-a49e-e54b8fa3448b','Col':1,'Row':25,'ColDynamic':1,'RowDynamic':15,'Format':'numberic','Value':'','TargetCode':''}</v>
      </c>
    </row>
    <row r="62" ht="12.75">
      <c r="A62" t="str">
        <f>CONCATENATE("{'SheetId':'0e67e680-b807-4d33-99c0-7b78881f5ae3'",",","'UId':'b0d4f040-e48a-49a4-89cb-82ab4377326b'",",'Col':",COLUMN(BCTaiSan_06027!B25),",'Row':",ROW(BCTaiSan_06027!B25),",","'ColDynamic':",COLUMN(BCTaiSan_06027!B15),",","'RowDynamic':",ROW(BCTaiSan_06027!B15),",","'Format':'string'",",'Value':'",SUBSTITUTE(BCTaiSan_06027!B25,"'","\'"),"','TargetCode':''}")</f>
        <v>{'SheetId':'0e67e680-b807-4d33-99c0-7b78881f5ae3','UId':'b0d4f040-e48a-49a4-89cb-82ab4377326b','Col':2,'Row':25,'ColDynamic':2,'RowDynamic':15,'Format':'string','Value':'','TargetCode':''}</v>
      </c>
    </row>
    <row r="63" ht="12.75">
      <c r="A63" t="str">
        <f>CONCATENATE("{'SheetId':'0e67e680-b807-4d33-99c0-7b78881f5ae3'",",","'UId':'065408bc-53bc-4b2d-a05d-d6b3cb7b5141'",",'Col':",COLUMN(BCTaiSan_06027!C25),",'Row':",ROW(BCTaiSan_06027!C25),",","'ColDynamic':",COLUMN(BCTaiSan_06027!C15),",","'RowDynamic':",ROW(BCTaiSan_06027!C15),",","'Format':'numberic'",",'Value':'",SUBSTITUTE(BCTaiSan_06027!C25,"'","\'"),"','TargetCode':''}")</f>
        <v>{'SheetId':'0e67e680-b807-4d33-99c0-7b78881f5ae3','UId':'065408bc-53bc-4b2d-a05d-d6b3cb7b5141','Col':3,'Row':25,'ColDynamic':3,'RowDynamic':15,'Format':'numberic','Value':'','TargetCode':''}</v>
      </c>
    </row>
    <row r="64" ht="12.75">
      <c r="A64" t="str">
        <f>CONCATENATE("{'SheetId':'0e67e680-b807-4d33-99c0-7b78881f5ae3'",",","'UId':'4a94e658-4312-4209-a152-e798cc810997'",",'Col':",COLUMN(BCTaiSan_06027!D25),",'Row':",ROW(BCTaiSan_06027!D25),",","'ColDynamic':",COLUMN(BCTaiSan_06027!D15),",","'RowDynamic':",ROW(BCTaiSan_06027!D15),",","'Format':'numberic'",",'Value':'",SUBSTITUTE(BCTaiSan_06027!D25,"'","\'"),"','TargetCode':''}")</f>
        <v>{'SheetId':'0e67e680-b807-4d33-99c0-7b78881f5ae3','UId':'4a94e658-4312-4209-a152-e798cc810997','Col':4,'Row':25,'ColDynamic':4,'RowDynamic':15,'Format':'numberic','Value':' ','TargetCode':''}</v>
      </c>
    </row>
    <row r="65" ht="12.75">
      <c r="A65" t="str">
        <f>CONCATENATE("{'SheetId':'0e67e680-b807-4d33-99c0-7b78881f5ae3'",",","'UId':'54ea434c-4c89-49f6-ac6c-9e1d3d39c54a'",",'Col':",COLUMN(BCTaiSan_06027!E25),",'Row':",ROW(BCTaiSan_06027!E25),",","'ColDynamic':",COLUMN(BCTaiSan_06027!E15),",","'RowDynamic':",ROW(BCTaiSan_06027!E15),",","'Format':'numberic'",",'Value':'",SUBSTITUTE(BCTaiSan_06027!E25,"'","\'"),"','TargetCode':''}")</f>
        <v>{'SheetId':'0e67e680-b807-4d33-99c0-7b78881f5ae3','UId':'54ea434c-4c89-49f6-ac6c-9e1d3d39c54a','Col':5,'Row':25,'ColDynamic':5,'RowDynamic':15,'Format':'numberic','Value':' ','TargetCode':''}</v>
      </c>
    </row>
    <row r="66" ht="12.75">
      <c r="A66" t="str">
        <f>CONCATENATE("{'SheetId':'0e67e680-b807-4d33-99c0-7b78881f5ae3'",",","'UId':'2b49fc55-ee6e-4a25-8087-c14005ea648d'",",'Col':",COLUMN(BCTaiSan_06027!F25),",'Row':",ROW(BCTaiSan_06027!F25),",","'ColDynamic':",COLUMN(BCTaiSan_06027!F15),",","'RowDynamic':",ROW(BCTaiSan_06027!F15),",","'Format':'numberic'",",'Value':'",SUBSTITUTE(BCTaiSan_06027!F25,"'","\'"),"','TargetCode':''}")</f>
        <v>{'SheetId':'0e67e680-b807-4d33-99c0-7b78881f5ae3','UId':'2b49fc55-ee6e-4a25-8087-c14005ea648d','Col':6,'Row':25,'ColDynamic':6,'RowDynamic':15,'Format':'numberic','Value':' ','TargetCode':''}</v>
      </c>
    </row>
    <row r="67" ht="12.75">
      <c r="A67" t="str">
        <f>CONCATENATE("{'SheetId':'0e67e680-b807-4d33-99c0-7b78881f5ae3'",",","'UId':'d3087115-98ed-4310-8087-526a699f72e1'",",'Col':",COLUMN(BCTaiSan_06027!D26),",'Row':",ROW(BCTaiSan_06027!D26),",","'Format':'numberic'",",'Value':'",SUBSTITUTE(BCTaiSan_06027!D26,"'","\'"),"','TargetCode':''}")</f>
        <v>{'SheetId':'0e67e680-b807-4d33-99c0-7b78881f5ae3','UId':'d3087115-98ed-4310-8087-526a699f72e1','Col':4,'Row':26,'Format':'numberic','Value':' ','TargetCode':''}</v>
      </c>
    </row>
    <row r="68" ht="12.75">
      <c r="A68" t="str">
        <f>CONCATENATE("{'SheetId':'0e67e680-b807-4d33-99c0-7b78881f5ae3'",",","'UId':'01d5d912-b3c4-471a-9f5e-e1ac15c1dcc9'",",'Col':",COLUMN(BCTaiSan_06027!E26),",'Row':",ROW(BCTaiSan_06027!E26),",","'Format':'numberic'",",'Value':'",SUBSTITUTE(BCTaiSan_06027!E26,"'","\'"),"','TargetCode':''}")</f>
        <v>{'SheetId':'0e67e680-b807-4d33-99c0-7b78881f5ae3','UId':'01d5d912-b3c4-471a-9f5e-e1ac15c1dcc9','Col':5,'Row':26,'Format':'numberic','Value':' ','TargetCode':''}</v>
      </c>
    </row>
    <row r="69" ht="12.75">
      <c r="A69" t="str">
        <f>CONCATENATE("{'SheetId':'0e67e680-b807-4d33-99c0-7b78881f5ae3'",",","'UId':'3fc92fd1-c570-4931-b42c-dff4adb06154'",",'Col':",COLUMN(BCTaiSan_06027!F26),",'Row':",ROW(BCTaiSan_06027!F26),",","'Format':'numberic'",",'Value':'",SUBSTITUTE(BCTaiSan_06027!F26,"'","\'"),"','TargetCode':''}")</f>
        <v>{'SheetId':'0e67e680-b807-4d33-99c0-7b78881f5ae3','UId':'3fc92fd1-c570-4931-b42c-dff4adb06154','Col':6,'Row':26,'Format':'numberic','Value':' ','TargetCode':''}</v>
      </c>
    </row>
    <row r="70" ht="12.75">
      <c r="A70" t="str">
        <f>CONCATENATE("{'SheetId':'0e67e680-b807-4d33-99c0-7b78881f5ae3'",",","'UId':'516c7b79-1864-4901-93fb-d328425136ec'",",'Col':",COLUMN(BCTaiSan_06027!A28),",'Row':",ROW(BCTaiSan_06027!A28),",","'ColDynamic':",COLUMN(BCTaiSan_06027!A22),",","'RowDynamic':",ROW(BCTaiSan_06027!A22),",","'Format':'numberic'",",'Value':'",SUBSTITUTE(BCTaiSan_06027!A28,"'","\'"),"','TargetCode':''}")</f>
        <v>{'SheetId':'0e67e680-b807-4d33-99c0-7b78881f5ae3','UId':'516c7b79-1864-4901-93fb-d328425136ec','Col':1,'Row':28,'ColDynamic':1,'RowDynamic':22,'Format':'numberic','Value':'','TargetCode':''}</v>
      </c>
    </row>
    <row r="71" ht="12.75">
      <c r="A71" t="str">
        <f>CONCATENATE("{'SheetId':'0e67e680-b807-4d33-99c0-7b78881f5ae3'",",","'UId':'f4caa67e-a524-4fd0-9a25-b21fdc9cb36b'",",'Col':",COLUMN(BCTaiSan_06027!B28),",'Row':",ROW(BCTaiSan_06027!B28),",","'ColDynamic':",COLUMN(BCTaiSan_06027!B22),",","'RowDynamic':",ROW(BCTaiSan_06027!B22),",","'Format':'string'",",'Value':'",SUBSTITUTE(BCTaiSan_06027!B28,"'","\'"),"','TargetCode':''}")</f>
        <v>{'SheetId':'0e67e680-b807-4d33-99c0-7b78881f5ae3','UId':'f4caa67e-a524-4fd0-9a25-b21fdc9cb36b','Col':2,'Row':28,'ColDynamic':2,'RowDynamic':22,'Format':'string','Value':'','TargetCode':''}</v>
      </c>
    </row>
    <row r="72" ht="12.75">
      <c r="A72" t="str">
        <f>CONCATENATE("{'SheetId':'0e67e680-b807-4d33-99c0-7b78881f5ae3'",",","'UId':'e34073a1-acc4-4210-a0b8-cd92a1be1de1'",",'Col':",COLUMN(BCTaiSan_06027!C28),",'Row':",ROW(BCTaiSan_06027!C28),",","'ColDynamic':",COLUMN(BCTaiSan_06027!C22),",","'RowDynamic':",ROW(BCTaiSan_06027!C22),",","'Format':'numberic'",",'Value':'",SUBSTITUTE(BCTaiSan_06027!C28,"'","\'"),"','TargetCode':''}")</f>
        <v>{'SheetId':'0e67e680-b807-4d33-99c0-7b78881f5ae3','UId':'e34073a1-acc4-4210-a0b8-cd92a1be1de1','Col':3,'Row':28,'ColDynamic':3,'RowDynamic':22,'Format':'numberic','Value':'','TargetCode':''}</v>
      </c>
    </row>
    <row r="73" ht="12.75">
      <c r="A73" t="str">
        <f>CONCATENATE("{'SheetId':'0e67e680-b807-4d33-99c0-7b78881f5ae3'",",","'UId':'cb4e2b8d-2714-4d59-b5f7-5af0c9fc0af8'",",'Col':",COLUMN(BCTaiSan_06027!D28),",'Row':",ROW(BCTaiSan_06027!D28),",","'ColDynamic':",COLUMN(BCTaiSan_06027!D22),",","'RowDynamic':",ROW(BCTaiSan_06027!D22),",","'Format':'numberic'",",'Value':'",SUBSTITUTE(BCTaiSan_06027!D28,"'","\'"),"','TargetCode':''}")</f>
        <v>{'SheetId':'0e67e680-b807-4d33-99c0-7b78881f5ae3','UId':'cb4e2b8d-2714-4d59-b5f7-5af0c9fc0af8','Col':4,'Row':28,'ColDynamic':4,'RowDynamic':22,'Format':'numberic','Value':'','TargetCode':''}</v>
      </c>
    </row>
    <row r="74" ht="12.75">
      <c r="A74" t="str">
        <f>CONCATENATE("{'SheetId':'0e67e680-b807-4d33-99c0-7b78881f5ae3'",",","'UId':'ef81c1d8-21d8-44f1-bbab-d85522915c87'",",'Col':",COLUMN(BCTaiSan_06027!E28),",'Row':",ROW(BCTaiSan_06027!E28),",","'ColDynamic':",COLUMN(BCTaiSan_06027!E22),",","'RowDynamic':",ROW(BCTaiSan_06027!E22),",","'Format':'numberic'",",'Value':'",SUBSTITUTE(BCTaiSan_06027!E28,"'","\'"),"','TargetCode':''}")</f>
        <v>{'SheetId':'0e67e680-b807-4d33-99c0-7b78881f5ae3','UId':'ef81c1d8-21d8-44f1-bbab-d85522915c87','Col':5,'Row':28,'ColDynamic':5,'RowDynamic':22,'Format':'numberic','Value':'','TargetCode':''}</v>
      </c>
    </row>
    <row r="75" ht="12.75">
      <c r="A75" t="str">
        <f>CONCATENATE("{'SheetId':'0e67e680-b807-4d33-99c0-7b78881f5ae3'",",","'UId':'6a8f95a0-636c-4268-a3c5-fb501f5e64f5'",",'Col':",COLUMN(BCTaiSan_06027!F28),",'Row':",ROW(BCTaiSan_06027!F28),",","'ColDynamic':",COLUMN(BCTaiSan_06027!F22),",","'RowDynamic':",ROW(BCTaiSan_06027!F22),",","'Format':'numberic'",",'Value':'",SUBSTITUTE(BCTaiSan_06027!F28,"'","\'"),"','TargetCode':''}")</f>
        <v>{'SheetId':'0e67e680-b807-4d33-99c0-7b78881f5ae3','UId':'6a8f95a0-636c-4268-a3c5-fb501f5e64f5','Col':6,'Row':28,'ColDynamic':6,'RowDynamic':22,'Format':'numberic','Value':'','TargetCode':''}</v>
      </c>
    </row>
    <row r="76" ht="12.75">
      <c r="A76" t="str">
        <f>CONCATENATE("{'SheetId':'0e67e680-b807-4d33-99c0-7b78881f5ae3'",",","'UId':'022fb1e6-6ae9-4fad-b071-b4b8f748fc24'",",'Col':",COLUMN(BCTaiSan_06027!D29),",'Row':",ROW(BCTaiSan_06027!D29),",","'Format':'numberic'",",'Value':'",SUBSTITUTE(BCTaiSan_06027!D29,"'","\'"),"','TargetCode':''}")</f>
        <v>{'SheetId':'0e67e680-b807-4d33-99c0-7b78881f5ae3','UId':'022fb1e6-6ae9-4fad-b071-b4b8f748fc24','Col':4,'Row':29,'Format':'numberic','Value':' ','TargetCode':''}</v>
      </c>
    </row>
    <row r="77" ht="12.75">
      <c r="A77" t="str">
        <f>CONCATENATE("{'SheetId':'0e67e680-b807-4d33-99c0-7b78881f5ae3'",",","'UId':'f7a91119-2d9c-4b1a-9f30-9b37a89d8586'",",'Col':",COLUMN(BCTaiSan_06027!E29),",'Row':",ROW(BCTaiSan_06027!E29),",","'Format':'numberic'",",'Value':'",SUBSTITUTE(BCTaiSan_06027!E29,"'","\'"),"','TargetCode':''}")</f>
        <v>{'SheetId':'0e67e680-b807-4d33-99c0-7b78881f5ae3','UId':'f7a91119-2d9c-4b1a-9f30-9b37a89d8586','Col':5,'Row':29,'Format':'numberic','Value':' ','TargetCode':''}</v>
      </c>
    </row>
    <row r="78" ht="12.75">
      <c r="A78" t="str">
        <f>CONCATENATE("{'SheetId':'0e67e680-b807-4d33-99c0-7b78881f5ae3'",",","'UId':'20b22da0-50b8-43d3-8775-3e42bfc7ac25'",",'Col':",COLUMN(BCTaiSan_06027!F29),",'Row':",ROW(BCTaiSan_06027!F29),",","'Format':'numberic'",",'Value':'",SUBSTITUTE(BCTaiSan_06027!F29,"'","\'"),"','TargetCode':''}")</f>
        <v>{'SheetId':'0e67e680-b807-4d33-99c0-7b78881f5ae3','UId':'20b22da0-50b8-43d3-8775-3e42bfc7ac25','Col':6,'Row':29,'Format':'numberic','Value':' ','TargetCode':''}</v>
      </c>
    </row>
    <row r="79" ht="12.75">
      <c r="A79" t="str">
        <f>CONCATENATE("{'SheetId':'0e67e680-b807-4d33-99c0-7b78881f5ae3'",",","'UId':'3e54e722-f72d-4af5-8c32-1442783e14cb'",",'Col':",COLUMN(BCTaiSan_06027!A31),",'Row':",ROW(BCTaiSan_06027!A31),",","'ColDynamic':",COLUMN(BCTaiSan_06027!A25),",","'RowDynamic':",ROW(BCTaiSan_06027!A25),",","'Format':'numberic'",",'Value':'",SUBSTITUTE(BCTaiSan_06027!A31,"'","\'"),"','TargetCode':''}")</f>
        <v>{'SheetId':'0e67e680-b807-4d33-99c0-7b78881f5ae3','UId':'3e54e722-f72d-4af5-8c32-1442783e14cb','Col':1,'Row':31,'ColDynamic':1,'RowDynamic':25,'Format':'numberic','Value':'','TargetCode':''}</v>
      </c>
    </row>
    <row r="80" ht="12.75">
      <c r="A80" t="str">
        <f>CONCATENATE("{'SheetId':'0e67e680-b807-4d33-99c0-7b78881f5ae3'",",","'UId':'3f96d766-9a48-4f2e-9fbb-96483be5a37b'",",'Col':",COLUMN(BCTaiSan_06027!B31),",'Row':",ROW(BCTaiSan_06027!B31),",","'ColDynamic':",COLUMN(BCTaiSan_06027!B25),",","'RowDynamic':",ROW(BCTaiSan_06027!B25),",","'Format':'string'",",'Value':'",SUBSTITUTE(BCTaiSan_06027!B31,"'","\'"),"','TargetCode':''}")</f>
        <v>{'SheetId':'0e67e680-b807-4d33-99c0-7b78881f5ae3','UId':'3f96d766-9a48-4f2e-9fbb-96483be5a37b','Col':2,'Row':31,'ColDynamic':2,'RowDynamic':25,'Format':'string','Value':'','TargetCode':''}</v>
      </c>
    </row>
    <row r="81" ht="12.75">
      <c r="A81" t="str">
        <f>CONCATENATE("{'SheetId':'0e67e680-b807-4d33-99c0-7b78881f5ae3'",",","'UId':'a6a52ad7-d9e3-4e8c-8379-6be9e58cd9c4'",",'Col':",COLUMN(BCTaiSan_06027!C31),",'Row':",ROW(BCTaiSan_06027!C31),",","'ColDynamic':",COLUMN(BCTaiSan_06027!C25),",","'RowDynamic':",ROW(BCTaiSan_06027!C25),",","'Format':'numberic'",",'Value':'",SUBSTITUTE(BCTaiSan_06027!C31,"'","\'"),"','TargetCode':''}")</f>
        <v>{'SheetId':'0e67e680-b807-4d33-99c0-7b78881f5ae3','UId':'a6a52ad7-d9e3-4e8c-8379-6be9e58cd9c4','Col':3,'Row':31,'ColDynamic':3,'RowDynamic':25,'Format':'numberic','Value':'','TargetCode':''}</v>
      </c>
    </row>
    <row r="82" ht="12.75">
      <c r="A82" t="str">
        <f>CONCATENATE("{'SheetId':'0e67e680-b807-4d33-99c0-7b78881f5ae3'",",","'UId':'55d255b4-7d80-40f2-9833-cf8c6ce53f06'",",'Col':",COLUMN(BCTaiSan_06027!D31),",'Row':",ROW(BCTaiSan_06027!D31),",","'ColDynamic':",COLUMN(BCTaiSan_06027!D25),",","'RowDynamic':",ROW(BCTaiSan_06027!D25),",","'Format':'numberic'",",'Value':'",SUBSTITUTE(BCTaiSan_06027!D31,"'","\'"),"','TargetCode':''}")</f>
        <v>{'SheetId':'0e67e680-b807-4d33-99c0-7b78881f5ae3','UId':'55d255b4-7d80-40f2-9833-cf8c6ce53f06','Col':4,'Row':31,'ColDynamic':4,'RowDynamic':25,'Format':'numberic','Value':'','TargetCode':''}</v>
      </c>
    </row>
    <row r="83" ht="12.75">
      <c r="A83" t="str">
        <f>CONCATENATE("{'SheetId':'0e67e680-b807-4d33-99c0-7b78881f5ae3'",",","'UId':'d5fb38c5-6523-43de-ac0b-ba97356659f4'",",'Col':",COLUMN(BCTaiSan_06027!E31),",'Row':",ROW(BCTaiSan_06027!E31),",","'ColDynamic':",COLUMN(BCTaiSan_06027!E25),",","'RowDynamic':",ROW(BCTaiSan_06027!E25),",","'Format':'numberic'",",'Value':'",SUBSTITUTE(BCTaiSan_06027!E31,"'","\'"),"','TargetCode':''}")</f>
        <v>{'SheetId':'0e67e680-b807-4d33-99c0-7b78881f5ae3','UId':'d5fb38c5-6523-43de-ac0b-ba97356659f4','Col':5,'Row':31,'ColDynamic':5,'RowDynamic':25,'Format':'numberic','Value':'','TargetCode':''}</v>
      </c>
    </row>
    <row r="84" ht="12.75">
      <c r="A84" t="str">
        <f>CONCATENATE("{'SheetId':'0e67e680-b807-4d33-99c0-7b78881f5ae3'",",","'UId':'94220f49-c77d-4bed-9bb1-05d3a31d7f99'",",'Col':",COLUMN(BCTaiSan_06027!F31),",'Row':",ROW(BCTaiSan_06027!F31),",","'ColDynamic':",COLUMN(BCTaiSan_06027!F25),",","'RowDynamic':",ROW(BCTaiSan_06027!F25),",","'Format':'numberic'",",'Value':'",SUBSTITUTE(BCTaiSan_06027!F31,"'","\'"),"','TargetCode':''}")</f>
        <v>{'SheetId':'0e67e680-b807-4d33-99c0-7b78881f5ae3','UId':'94220f49-c77d-4bed-9bb1-05d3a31d7f99','Col':6,'Row':31,'ColDynamic':6,'RowDynamic':25,'Format':'numberic','Value':'','TargetCode':''}</v>
      </c>
    </row>
    <row r="85" ht="12.75">
      <c r="A85" t="str">
        <f>CONCATENATE("{'SheetId':'0e67e680-b807-4d33-99c0-7b78881f5ae3'",",","'UId':'9165401c-9eab-437b-81ae-d4feb80e4e2f'",",'Col':",COLUMN(BCTaiSan_06027!D32),",'Row':",ROW(BCTaiSan_06027!D32),",","'Format':'numberic'",",'Value':'",SUBSTITUTE(BCTaiSan_06027!D32,"'","\'"),"','TargetCode':''}")</f>
        <v>{'SheetId':'0e67e680-b807-4d33-99c0-7b78881f5ae3','UId':'9165401c-9eab-437b-81ae-d4feb80e4e2f','Col':4,'Row':32,'Format':'numberic','Value':'156012057232','TargetCode':''}</v>
      </c>
    </row>
    <row r="86" ht="12.75">
      <c r="A86" t="str">
        <f>CONCATENATE("{'SheetId':'0e67e680-b807-4d33-99c0-7b78881f5ae3'",",","'UId':'a439d206-4c67-47d4-afcd-d4f8e627acf1'",",'Col':",COLUMN(BCTaiSan_06027!E32),",'Row':",ROW(BCTaiSan_06027!E32),",","'Format':'numberic'",",'Value':'",SUBSTITUTE(BCTaiSan_06027!E32,"'","\'"),"','TargetCode':''}")</f>
        <v>{'SheetId':'0e67e680-b807-4d33-99c0-7b78881f5ae3','UId':'a439d206-4c67-47d4-afcd-d4f8e627acf1','Col':5,'Row':32,'Format':'numberic','Value':'154907684412','TargetCode':''}</v>
      </c>
    </row>
    <row r="87" ht="12.75">
      <c r="A87" t="str">
        <f>CONCATENATE("{'SheetId':'0e67e680-b807-4d33-99c0-7b78881f5ae3'",",","'UId':'8906c8be-ac8d-4de9-aebb-1de6b88d0a22'",",'Col':",COLUMN(BCTaiSan_06027!F32),",'Row':",ROW(BCTaiSan_06027!F32),",","'Format':'numberic'",",'Value':'",SUBSTITUTE(BCTaiSan_06027!F32,"'","\'"),"','TargetCode':''}")</f>
        <v>{'SheetId':'0e67e680-b807-4d33-99c0-7b78881f5ae3','UId':'8906c8be-ac8d-4de9-aebb-1de6b88d0a22','Col':6,'Row':32,'Format':'numberic','Value':'2.4432360930869','TargetCode':''}</v>
      </c>
    </row>
    <row r="88" ht="12.75">
      <c r="A88" t="str">
        <f>CONCATENATE("{'SheetId':'0e67e680-b807-4d33-99c0-7b78881f5ae3'",",","'UId':'fcc35a7f-f6b8-4bb3-8ca7-ebe672f71784'",",'Col':",COLUMN(BCTaiSan_06027!D33),",'Row':",ROW(BCTaiSan_06027!D33),",","'Format':'numberic'",",'Value':'",SUBSTITUTE(BCTaiSan_06027!D33,"'","\'"),"','TargetCode':''}")</f>
        <v>{'SheetId':'0e67e680-b807-4d33-99c0-7b78881f5ae3','UId':'fcc35a7f-f6b8-4bb3-8ca7-ebe672f71784','Col':4,'Row':33,'Format':'numberic','Value':' ','TargetCode':''}</v>
      </c>
    </row>
    <row r="89" ht="12.75">
      <c r="A89" t="str">
        <f>CONCATENATE("{'SheetId':'0e67e680-b807-4d33-99c0-7b78881f5ae3'",",","'UId':'a136b878-a09a-4ca8-9264-ae97a1f9fec3'",",'Col':",COLUMN(BCTaiSan_06027!E33),",'Row':",ROW(BCTaiSan_06027!E33),",","'Format':'numberic'",",'Value':'",SUBSTITUTE(BCTaiSan_06027!E33,"'","\'"),"','TargetCode':''}")</f>
        <v>{'SheetId':'0e67e680-b807-4d33-99c0-7b78881f5ae3','UId':'a136b878-a09a-4ca8-9264-ae97a1f9fec3','Col':5,'Row':33,'Format':'numberic','Value':' ','TargetCode':''}</v>
      </c>
    </row>
    <row r="90" ht="12.75">
      <c r="A90" t="str">
        <f>CONCATENATE("{'SheetId':'0e67e680-b807-4d33-99c0-7b78881f5ae3'",",","'UId':'a8356e2f-9957-4c65-86e7-8c58d3059caa'",",'Col':",COLUMN(BCTaiSan_06027!F33),",'Row':",ROW(BCTaiSan_06027!F33),",","'Format':'numberic'",",'Value':'",SUBSTITUTE(BCTaiSan_06027!F33,"'","\'"),"','TargetCode':''}")</f>
        <v>{'SheetId':'0e67e680-b807-4d33-99c0-7b78881f5ae3','UId':'a8356e2f-9957-4c65-86e7-8c58d3059caa','Col':6,'Row':33,'Format':'numberic','Value':' ','TargetCode':''}</v>
      </c>
    </row>
    <row r="91" ht="12.75">
      <c r="A91" t="str">
        <f>CONCATENATE("{'SheetId':'0e67e680-b807-4d33-99c0-7b78881f5ae3'",",","'UId':'d658a5fe-69b7-43dd-b32e-4c1914beb25f'",",'Col':",COLUMN(BCTaiSan_06027!D34),",'Row':",ROW(BCTaiSan_06027!D34),",","'Format':'numberic'",",'Value':'",SUBSTITUTE(BCTaiSan_06027!D34,"'","\'"),"','TargetCode':''}")</f>
        <v>{'SheetId':'0e67e680-b807-4d33-99c0-7b78881f5ae3','UId':'d658a5fe-69b7-43dd-b32e-4c1914beb25f','Col':4,'Row':34,'Format':'numberic','Value':'','TargetCode':''}</v>
      </c>
    </row>
    <row r="92" ht="12.75">
      <c r="A92" t="str">
        <f>CONCATENATE("{'SheetId':'0e67e680-b807-4d33-99c0-7b78881f5ae3'",",","'UId':'d06f90ca-bd66-421a-8cc3-6e3bfb681663'",",'Col':",COLUMN(BCTaiSan_06027!E34),",'Row':",ROW(BCTaiSan_06027!E34),",","'Format':'numberic'",",'Value':'",SUBSTITUTE(BCTaiSan_06027!E34,"'","\'"),"','TargetCode':''}")</f>
        <v>{'SheetId':'0e67e680-b807-4d33-99c0-7b78881f5ae3','UId':'d06f90ca-bd66-421a-8cc3-6e3bfb681663','Col':5,'Row':34,'Format':'numberic','Value':'','TargetCode':''}</v>
      </c>
    </row>
    <row r="93" ht="12.75">
      <c r="A93" t="str">
        <f>CONCATENATE("{'SheetId':'0e67e680-b807-4d33-99c0-7b78881f5ae3'",",","'UId':'3afa0586-8350-4d11-b45e-528e4fb594a3'",",'Col':",COLUMN(BCTaiSan_06027!F34),",'Row':",ROW(BCTaiSan_06027!F34),",","'Format':'numberic'",",'Value':'",SUBSTITUTE(BCTaiSan_06027!F34,"'","\'"),"','TargetCode':''}")</f>
        <v>{'SheetId':'0e67e680-b807-4d33-99c0-7b78881f5ae3','UId':'3afa0586-8350-4d11-b45e-528e4fb594a3','Col':6,'Row':34,'Format':'numberic','Value':'','TargetCode':''}</v>
      </c>
    </row>
    <row r="94" ht="12.75">
      <c r="A94" t="str">
        <f>CONCATENATE("{'SheetId':'0e67e680-b807-4d33-99c0-7b78881f5ae3'",",","'UId':'d548c3e3-1502-45fc-ac84-2e6ed3c0c2b0'",",'Col':",COLUMN(BCTaiSan_06027!A36),",'Row':",ROW(BCTaiSan_06027!A36),",","'ColDynamic':",COLUMN(BCTaiSan_06027!A35),",","'RowDynamic':",ROW(BCTaiSan_06027!A35),",","'Format':'string'",",'Value':'",SUBSTITUTE(BCTaiSan_06027!A36,"'","\'"),"','TargetCode':''}")</f>
        <v>{'SheetId':'0e67e680-b807-4d33-99c0-7b78881f5ae3','UId':'d548c3e3-1502-45fc-ac84-2e6ed3c0c2b0','Col':1,'Row':36,'ColDynamic':1,'RowDynamic':35,'Format':'string','Value':'II.2','TargetCode':''}</v>
      </c>
    </row>
    <row r="95" ht="12.75">
      <c r="A95" t="str">
        <f>CONCATENATE("{'SheetId':'0e67e680-b807-4d33-99c0-7b78881f5ae3'",",","'UId':'a9ae3b70-e29b-4bf1-bbf5-5eb74c091677'",",'Col':",COLUMN(BCTaiSan_06027!B36),",'Row':",ROW(BCTaiSan_06027!B36),",","'ColDynamic':",COLUMN(BCTaiSan_06027!B35),",","'RowDynamic':",ROW(BCTaiSan_06027!B35),",","'Format':'string'",",'Value':'",SUBSTITUTE(BCTaiSan_06027!B36,"'","\'"),"','TargetCode':''}")</f>
        <v>{'SheetId':'0e67e680-b807-4d33-99c0-7b78881f5ae3','UId':'a9ae3b70-e29b-4bf1-bbf5-5eb74c091677','Col':2,'Row':36,'ColDynamic':2,'RowDynamic':35,'Format':'string','Value':'Tiền phải thanh toán mua chứng khoán (kê chi tiết)','TargetCode':''}</v>
      </c>
    </row>
    <row r="96" ht="12.75">
      <c r="A96" t="str">
        <f>CONCATENATE("{'SheetId':'0e67e680-b807-4d33-99c0-7b78881f5ae3'",",","'UId':'097ee258-be00-4608-8dc1-f420aabf1dda'",",'Col':",COLUMN(BCTaiSan_06027!C36),",'Row':",ROW(BCTaiSan_06027!C36),",","'ColDynamic':",COLUMN(BCTaiSan_06027!C35),",","'RowDynamic':",ROW(BCTaiSan_06027!C35),",","'Format':'string'",",'Value':'",SUBSTITUTE(BCTaiSan_06027!C36,"'","\'"),"','TargetCode':''}")</f>
        <v>{'SheetId':'0e67e680-b807-4d33-99c0-7b78881f5ae3','UId':'097ee258-be00-4608-8dc1-f420aabf1dda','Col':3,'Row':36,'ColDynamic':3,'RowDynamic':35,'Format':'string','Value':'2214','TargetCode':''}</v>
      </c>
    </row>
    <row r="97" ht="12.75">
      <c r="A97" t="str">
        <f>CONCATENATE("{'SheetId':'0e67e680-b807-4d33-99c0-7b78881f5ae3'",",","'UId':'c0a5eee6-84a8-4294-82d8-68a2433fd220'",",'Col':",COLUMN(BCTaiSan_06027!D36),",'Row':",ROW(BCTaiSan_06027!D36),",","'ColDynamic':",COLUMN(BCTaiSan_06027!D35),",","'RowDynamic':",ROW(BCTaiSan_06027!D35),",","'Format':'numberic'",",'Value':'",SUBSTITUTE(BCTaiSan_06027!D36,"'","\'"),"','TargetCode':''}")</f>
        <v>{'SheetId':'0e67e680-b807-4d33-99c0-7b78881f5ae3','UId':'c0a5eee6-84a8-4294-82d8-68a2433fd220','Col':4,'Row':36,'ColDynamic':4,'RowDynamic':35,'Format':'numberic','Value':' ','TargetCode':''}</v>
      </c>
    </row>
    <row r="98" ht="12.75">
      <c r="A98" t="str">
        <f>CONCATENATE("{'SheetId':'0e67e680-b807-4d33-99c0-7b78881f5ae3'",",","'UId':'a4ede6ba-ec49-4991-9f32-c8e9bcfe31d0'",",'Col':",COLUMN(BCTaiSan_06027!E36),",'Row':",ROW(BCTaiSan_06027!E36),",","'ColDynamic':",COLUMN(BCTaiSan_06027!E35),",","'RowDynamic':",ROW(BCTaiSan_06027!E35),",","'Format':'numberic'",",'Value':'",SUBSTITUTE(BCTaiSan_06027!E36,"'","\'"),"','TargetCode':''}")</f>
        <v>{'SheetId':'0e67e680-b807-4d33-99c0-7b78881f5ae3','UId':'a4ede6ba-ec49-4991-9f32-c8e9bcfe31d0','Col':5,'Row':36,'ColDynamic':5,'RowDynamic':35,'Format':'numberic','Value':' ','TargetCode':''}</v>
      </c>
    </row>
    <row r="99" ht="12.75">
      <c r="A99" t="str">
        <f>CONCATENATE("{'SheetId':'0e67e680-b807-4d33-99c0-7b78881f5ae3'",",","'UId':'ebe7f90a-4c76-4d55-af2e-bf84fb789084'",",'Col':",COLUMN(BCTaiSan_06027!F36),",'Row':",ROW(BCTaiSan_06027!F36),",","'ColDynamic':",COLUMN(BCTaiSan_06027!F35),",","'RowDynamic':",ROW(BCTaiSan_06027!F35),",","'Format':'numberic'",",'Value':'",SUBSTITUTE(BCTaiSan_06027!F36,"'","\'"),"','TargetCode':''}")</f>
        <v>{'SheetId':'0e67e680-b807-4d33-99c0-7b78881f5ae3','UId':'ebe7f90a-4c76-4d55-af2e-bf84fb789084','Col':6,'Row':36,'ColDynamic':6,'RowDynamic':35,'Format':'numberic','Value':' ','TargetCode':''}</v>
      </c>
    </row>
    <row r="100" ht="12.75">
      <c r="A100" t="str">
        <f>CONCATENATE("{'SheetId':'0e67e680-b807-4d33-99c0-7b78881f5ae3'",",","'UId':'58e21377-a719-4e89-80fb-23a88c96320b'",",'Col':",COLUMN(BCTaiSan_06027!A38),",'Row':",ROW(BCTaiSan_06027!A38),",","'ColDynamic':",COLUMN(BCTaiSan_06027!A22),",","'RowDynamic':",ROW(BCTaiSan_06027!A22),",","'Format':'numberic'",",'Value':'",SUBSTITUTE(BCTaiSan_06027!A38,"'","\'"),"','TargetCode':''}")</f>
        <v>{'SheetId':'0e67e680-b807-4d33-99c0-7b78881f5ae3','UId':'58e21377-a719-4e89-80fb-23a88c96320b','Col':1,'Row':38,'ColDynamic':1,'RowDynamic':22,'Format':'numberic','Value':'','TargetCode':''}</v>
      </c>
    </row>
    <row r="101" ht="12.75">
      <c r="A101" t="str">
        <f>CONCATENATE("{'SheetId':'0e67e680-b807-4d33-99c0-7b78881f5ae3'",",","'UId':'057ab56e-3793-4727-b4fd-1da089f66590'",",'Col':",COLUMN(BCTaiSan_06027!B38),",'Row':",ROW(BCTaiSan_06027!B38),",","'ColDynamic':",COLUMN(BCTaiSan_06027!B22),",","'RowDynamic':",ROW(BCTaiSan_06027!B22),",","'Format':'string'",",'Value':'",SUBSTITUTE(BCTaiSan_06027!B38,"'","\'"),"','TargetCode':''}")</f>
        <v>{'SheetId':'0e67e680-b807-4d33-99c0-7b78881f5ae3','UId':'057ab56e-3793-4727-b4fd-1da089f66590','Col':2,'Row':38,'ColDynamic':2,'RowDynamic':22,'Format':'string','Value':'','TargetCode':''}</v>
      </c>
    </row>
    <row r="102" ht="12.75">
      <c r="A102" t="str">
        <f>CONCATENATE("{'SheetId':'0e67e680-b807-4d33-99c0-7b78881f5ae3'",",","'UId':'eb909b8e-e707-4882-a3a2-de732a92a8c7'",",'Col':",COLUMN(BCTaiSan_06027!C38),",'Row':",ROW(BCTaiSan_06027!C38),",","'ColDynamic':",COLUMN(BCTaiSan_06027!C22),",","'RowDynamic':",ROW(BCTaiSan_06027!C22),",","'Format':'numberic'",",'Value':'",SUBSTITUTE(BCTaiSan_06027!C38,"'","\'"),"','TargetCode':''}")</f>
        <v>{'SheetId':'0e67e680-b807-4d33-99c0-7b78881f5ae3','UId':'eb909b8e-e707-4882-a3a2-de732a92a8c7','Col':3,'Row':38,'ColDynamic':3,'RowDynamic':22,'Format':'numberic','Value':'','TargetCode':''}</v>
      </c>
    </row>
    <row r="103" ht="12.75">
      <c r="A103" t="str">
        <f>CONCATENATE("{'SheetId':'0e67e680-b807-4d33-99c0-7b78881f5ae3'",",","'UId':'ba96be21-e7d2-468c-94f7-69e2d9c3def9'",",'Col':",COLUMN(BCTaiSan_06027!D38),",'Row':",ROW(BCTaiSan_06027!D38),",","'ColDynamic':",COLUMN(BCTaiSan_06027!D22),",","'RowDynamic':",ROW(BCTaiSan_06027!D22),",","'Format':'numberic'",",'Value':'",SUBSTITUTE(BCTaiSan_06027!D38,"'","\'"),"','TargetCode':''}")</f>
        <v>{'SheetId':'0e67e680-b807-4d33-99c0-7b78881f5ae3','UId':'ba96be21-e7d2-468c-94f7-69e2d9c3def9','Col':4,'Row':38,'ColDynamic':4,'RowDynamic':22,'Format':'numberic','Value':' ','TargetCode':''}</v>
      </c>
    </row>
    <row r="104" ht="12.75">
      <c r="A104" t="str">
        <f>CONCATENATE("{'SheetId':'0e67e680-b807-4d33-99c0-7b78881f5ae3'",",","'UId':'4b13ebd4-ed25-4cf3-9c4a-60a73dc646a9'",",'Col':",COLUMN(BCTaiSan_06027!E38),",'Row':",ROW(BCTaiSan_06027!E38),",","'ColDynamic':",COLUMN(BCTaiSan_06027!E22),",","'RowDynamic':",ROW(BCTaiSan_06027!E22),",","'Format':'numberic'",",'Value':'",SUBSTITUTE(BCTaiSan_06027!E38,"'","\'"),"','TargetCode':''}")</f>
        <v>{'SheetId':'0e67e680-b807-4d33-99c0-7b78881f5ae3','UId':'4b13ebd4-ed25-4cf3-9c4a-60a73dc646a9','Col':5,'Row':38,'ColDynamic':5,'RowDynamic':22,'Format':'numberic','Value':' ','TargetCode':''}</v>
      </c>
    </row>
    <row r="105" ht="12.75">
      <c r="A105" t="str">
        <f>CONCATENATE("{'SheetId':'0e67e680-b807-4d33-99c0-7b78881f5ae3'",",","'UId':'8b67476d-68af-436e-87a4-0029abbf73d8'",",'Col':",COLUMN(BCTaiSan_06027!F38),",'Row':",ROW(BCTaiSan_06027!F38),",","'ColDynamic':",COLUMN(BCTaiSan_06027!F22),",","'RowDynamic':",ROW(BCTaiSan_06027!F22),",","'Format':'numberic'",",'Value':'",SUBSTITUTE(BCTaiSan_06027!F38,"'","\'"),"','TargetCode':''}")</f>
        <v>{'SheetId':'0e67e680-b807-4d33-99c0-7b78881f5ae3','UId':'8b67476d-68af-436e-87a4-0029abbf73d8','Col':6,'Row':38,'ColDynamic':6,'RowDynamic':22,'Format':'numberic','Value':' ','TargetCode':''}</v>
      </c>
    </row>
    <row r="106" ht="12.75">
      <c r="A106" t="str">
        <f>CONCATENATE("{'SheetId':'0e67e680-b807-4d33-99c0-7b78881f5ae3'",",","'UId':'6823b56c-6355-4646-a028-45bac846780f'",",'Col':",COLUMN(BCTaiSan_06027!D39),",'Row':",ROW(BCTaiSan_06027!D39),",","'Format':'numberic'",",'Value':'",SUBSTITUTE(BCTaiSan_06027!D39,"'","\'"),"','TargetCode':''}")</f>
        <v>{'SheetId':'0e67e680-b807-4d33-99c0-7b78881f5ae3','UId':'6823b56c-6355-4646-a028-45bac846780f','Col':4,'Row':39,'Format':'numberic','Value':'336453553','TargetCode':''}</v>
      </c>
    </row>
    <row r="107" ht="12.75">
      <c r="A107" t="str">
        <f>CONCATENATE("{'SheetId':'0e67e680-b807-4d33-99c0-7b78881f5ae3'",",","'UId':'3318279c-387a-4099-bb92-e31c1fe449fe'",",'Col':",COLUMN(BCTaiSan_06027!E39),",'Row':",ROW(BCTaiSan_06027!E39),",","'Format':'numberic'",",'Value':'",SUBSTITUTE(BCTaiSan_06027!E39,"'","\'"),"','TargetCode':''}")</f>
        <v>{'SheetId':'0e67e680-b807-4d33-99c0-7b78881f5ae3','UId':'3318279c-387a-4099-bb92-e31c1fe449fe','Col':5,'Row':39,'Format':'numberic','Value':'355138672','TargetCode':''}</v>
      </c>
    </row>
    <row r="108" ht="12.75">
      <c r="A108" t="str">
        <f>CONCATENATE("{'SheetId':'0e67e680-b807-4d33-99c0-7b78881f5ae3'",",","'UId':'4e4bdcf0-80c6-4aab-a280-ce14045479a2'",",'Col':",COLUMN(BCTaiSan_06027!F39),",'Row':",ROW(BCTaiSan_06027!F39),",","'Format':'numberic'",",'Value':'",SUBSTITUTE(BCTaiSan_06027!F39,"'","\'"),"','TargetCode':''}")</f>
        <v>{'SheetId':'0e67e680-b807-4d33-99c0-7b78881f5ae3','UId':'4e4bdcf0-80c6-4aab-a280-ce14045479a2','Col':6,'Row':39,'Format':'numberic','Value':'0.720518365912355','TargetCode':''}</v>
      </c>
    </row>
    <row r="109" ht="12.75">
      <c r="A109" t="str">
        <f>CONCATENATE("{'SheetId':'0e67e680-b807-4d33-99c0-7b78881f5ae3'",",","'UId':'86156d9a-5419-49e8-80ee-8b1613fb9536'",",'Col':",COLUMN(BCTaiSan_06027!A57),",'Row':",ROW(BCTaiSan_06027!A57),",","'ColDynamic':",COLUMN(BCTaiSan_06027!A33),",","'RowDynamic':",ROW(BCTaiSan_06027!A33),",","'Format':'numberic'",",'Value':'",SUBSTITUTE(BCTaiSan_06027!A57,"'","\'"),"','TargetCode':''}")</f>
        <v>{'SheetId':'0e67e680-b807-4d33-99c0-7b78881f5ae3','UId':'86156d9a-5419-49e8-80ee-8b1613fb9536','Col':1,'Row':57,'ColDynamic':1,'RowDynamic':33,'Format':'numberic','Value':'','TargetCode':''}</v>
      </c>
    </row>
    <row r="110" ht="12.75">
      <c r="A110" t="str">
        <f>CONCATENATE("{'SheetId':'0e67e680-b807-4d33-99c0-7b78881f5ae3'",",","'UId':'c8455213-9e22-4e00-855c-d23497aa3ad3'",",'Col':",COLUMN(BCTaiSan_06027!B57),",'Row':",ROW(BCTaiSan_06027!B57),",","'ColDynamic':",COLUMN(BCTaiSan_06027!B33),",","'RowDynamic':",ROW(BCTaiSan_06027!B33),",","'Format':'string'",",'Value':'",SUBSTITUTE(BCTaiSan_06027!B57,"'","\'"),"','TargetCode':''}")</f>
        <v>{'SheetId':'0e67e680-b807-4d33-99c0-7b78881f5ae3','UId':'c8455213-9e22-4e00-855c-d23497aa3ad3','Col':2,'Row':57,'ColDynamic':2,'RowDynamic':33,'Format':'string','Value':'','TargetCode':''}</v>
      </c>
    </row>
    <row r="111" ht="12.75">
      <c r="A111" t="str">
        <f>CONCATENATE("{'SheetId':'0e67e680-b807-4d33-99c0-7b78881f5ae3'",",","'UId':'d9e7d136-a533-46c2-b197-f22c0d7194d4'",",'Col':",COLUMN(BCTaiSan_06027!C57),",'Row':",ROW(BCTaiSan_06027!C57),",","'ColDynamic':",COLUMN(BCTaiSan_06027!C33),",","'RowDynamic':",ROW(BCTaiSan_06027!C33),",","'Format':'numberic'",",'Value':'",SUBSTITUTE(BCTaiSan_06027!C57,"'","\'"),"','TargetCode':''}")</f>
        <v>{'SheetId':'0e67e680-b807-4d33-99c0-7b78881f5ae3','UId':'d9e7d136-a533-46c2-b197-f22c0d7194d4','Col':3,'Row':57,'ColDynamic':3,'RowDynamic':33,'Format':'numberic','Value':'','TargetCode':''}</v>
      </c>
    </row>
    <row r="112" ht="12.75">
      <c r="A112" t="str">
        <f>CONCATENATE("{'SheetId':'0e67e680-b807-4d33-99c0-7b78881f5ae3'",",","'UId':'8d4f19d9-f5c2-4bf7-96e9-f9107e17baec'",",'Col':",COLUMN(BCTaiSan_06027!D57),",'Row':",ROW(BCTaiSan_06027!D57),",","'ColDynamic':",COLUMN(BCTaiSan_06027!D33),",","'RowDynamic':",ROW(BCTaiSan_06027!D33),",","'Format':'numberic'",",'Value':'",SUBSTITUTE(BCTaiSan_06027!D57,"'","\'"),"','TargetCode':''}")</f>
        <v>{'SheetId':'0e67e680-b807-4d33-99c0-7b78881f5ae3','UId':'8d4f19d9-f5c2-4bf7-96e9-f9107e17baec','Col':4,'Row':57,'ColDynamic':4,'RowDynamic':33,'Format':'numberic','Value':'','TargetCode':''}</v>
      </c>
    </row>
    <row r="113" ht="12.75">
      <c r="A113" t="str">
        <f>CONCATENATE("{'SheetId':'0e67e680-b807-4d33-99c0-7b78881f5ae3'",",","'UId':'599e1d93-b92c-4a4c-b0ed-6b23cc561218'",",'Col':",COLUMN(BCTaiSan_06027!E57),",'Row':",ROW(BCTaiSan_06027!E57),",","'ColDynamic':",COLUMN(BCTaiSan_06027!E33),",","'RowDynamic':",ROW(BCTaiSan_06027!E33),",","'Format':'numberic'",",'Value':'",SUBSTITUTE(BCTaiSan_06027!E57,"'","\'"),"','TargetCode':''}")</f>
        <v>{'SheetId':'0e67e680-b807-4d33-99c0-7b78881f5ae3','UId':'599e1d93-b92c-4a4c-b0ed-6b23cc561218','Col':5,'Row':57,'ColDynamic':5,'RowDynamic':33,'Format':'numberic','Value':'','TargetCode':''}</v>
      </c>
    </row>
    <row r="114" ht="12.75">
      <c r="A114" t="str">
        <f>CONCATENATE("{'SheetId':'0e67e680-b807-4d33-99c0-7b78881f5ae3'",",","'UId':'147436ab-04be-44a5-bbed-cb05e3abc871'",",'Col':",COLUMN(BCTaiSan_06027!F57),",'Row':",ROW(BCTaiSan_06027!F57),",","'ColDynamic':",COLUMN(BCTaiSan_06027!F33),",","'RowDynamic':",ROW(BCTaiSan_06027!F33),",","'Format':'numberic'",",'Value':'",SUBSTITUTE(BCTaiSan_06027!F57,"'","\'"),"','TargetCode':''}")</f>
        <v>{'SheetId':'0e67e680-b807-4d33-99c0-7b78881f5ae3','UId':'147436ab-04be-44a5-bbed-cb05e3abc871','Col':6,'Row':57,'ColDynamic':6,'RowDynamic':33,'Format':'numberic','Value':'','TargetCode':''}</v>
      </c>
    </row>
    <row r="115" ht="12.75">
      <c r="A115" t="str">
        <f>CONCATENATE("{'SheetId':'0e67e680-b807-4d33-99c0-7b78881f5ae3'",",","'UId':'3c70b8a9-b1ec-43c2-876f-82404e71a395'",",'Col':",COLUMN(BCTaiSan_06027!D58),",'Row':",ROW(BCTaiSan_06027!D58),",","'Format':'numberic'",",'Value':'",SUBSTITUTE(BCTaiSan_06027!D58,"'","\'"),"','TargetCode':''}")</f>
        <v>{'SheetId':'0e67e680-b807-4d33-99c0-7b78881f5ae3','UId':'3c70b8a9-b1ec-43c2-876f-82404e71a395','Col':4,'Row':58,'Format':'numberic','Value':'336453553','TargetCode':''}</v>
      </c>
    </row>
    <row r="116" ht="12.75">
      <c r="A116" t="str">
        <f>CONCATENATE("{'SheetId':'0e67e680-b807-4d33-99c0-7b78881f5ae3'",",","'UId':'12d35449-1610-445d-a82a-ca6aa3c24666'",",'Col':",COLUMN(BCTaiSan_06027!E58),",'Row':",ROW(BCTaiSan_06027!E58),",","'Format':'numberic'",",'Value':'",SUBSTITUTE(BCTaiSan_06027!E58,"'","\'"),"','TargetCode':''}")</f>
        <v>{'SheetId':'0e67e680-b807-4d33-99c0-7b78881f5ae3','UId':'12d35449-1610-445d-a82a-ca6aa3c24666','Col':5,'Row':58,'Format':'numberic','Value':'355138672','TargetCode':''}</v>
      </c>
    </row>
    <row r="117" ht="12.75">
      <c r="A117" t="str">
        <f>CONCATENATE("{'SheetId':'0e67e680-b807-4d33-99c0-7b78881f5ae3'",",","'UId':'12315a60-eed3-4b10-a10c-2f67a18ee638'",",'Col':",COLUMN(BCTaiSan_06027!F58),",'Row':",ROW(BCTaiSan_06027!F58),",","'Format':'numberic'",",'Value':'",SUBSTITUTE(BCTaiSan_06027!F58,"'","\'"),"','TargetCode':''}")</f>
        <v>{'SheetId':'0e67e680-b807-4d33-99c0-7b78881f5ae3','UId':'12315a60-eed3-4b10-a10c-2f67a18ee638','Col':6,'Row':58,'Format':'numberic','Value':'0.720518365912355','TargetCode':''}</v>
      </c>
    </row>
    <row r="118" ht="12.75">
      <c r="A118" t="str">
        <f>CONCATENATE("{'SheetId':'0e67e680-b807-4d33-99c0-7b78881f5ae3'",",","'UId':'47fa62ea-4432-4646-9d4f-ee5aab71af85'",",'Col':",COLUMN(BCTaiSan_06027!D59),",'Row':",ROW(BCTaiSan_06027!D59),",","'Format':'numberic'",",'Value':'",SUBSTITUTE(BCTaiSan_06027!D59,"'","\'"),"','TargetCode':''}")</f>
        <v>{'SheetId':'0e67e680-b807-4d33-99c0-7b78881f5ae3','UId':'47fa62ea-4432-4646-9d4f-ee5aab71af85','Col':4,'Row':59,'Format':'numberic','Value':'155675603679','TargetCode':''}</v>
      </c>
    </row>
    <row r="119" ht="12.75">
      <c r="A119" t="str">
        <f>CONCATENATE("{'SheetId':'0e67e680-b807-4d33-99c0-7b78881f5ae3'",",","'UId':'3afb4556-da28-46fc-a2b2-36ba72752042'",",'Col':",COLUMN(BCTaiSan_06027!E59),",'Row':",ROW(BCTaiSan_06027!E59),",","'Format':'numberic'",",'Value':'",SUBSTITUTE(BCTaiSan_06027!E59,"'","\'"),"','TargetCode':''}")</f>
        <v>{'SheetId':'0e67e680-b807-4d33-99c0-7b78881f5ae3','UId':'3afb4556-da28-46fc-a2b2-36ba72752042','Col':5,'Row':59,'Format':'numberic','Value':'154552545740','TargetCode':''}</v>
      </c>
    </row>
    <row r="120" ht="12.75">
      <c r="A120" t="str">
        <f>CONCATENATE("{'SheetId':'0e67e680-b807-4d33-99c0-7b78881f5ae3'",",","'UId':'76b3aaa6-980e-4c01-b289-c500e2a6bc24'",",'Col':",COLUMN(BCTaiSan_06027!F59),",'Row':",ROW(BCTaiSan_06027!F59),",","'Format':'numberic'",",'Value':'",SUBSTITUTE(BCTaiSan_06027!F59,"'","\'"),"','TargetCode':''}")</f>
        <v>{'SheetId':'0e67e680-b807-4d33-99c0-7b78881f5ae3','UId':'76b3aaa6-980e-4c01-b289-c500e2a6bc24','Col':6,'Row':59,'Format':'numberic','Value':'2.45592689492476','TargetCode':''}</v>
      </c>
    </row>
    <row r="121" ht="12.75">
      <c r="A121" t="str">
        <f>CONCATENATE("{'SheetId':'0e67e680-b807-4d33-99c0-7b78881f5ae3'",",","'UId':'7104513d-d6f9-4449-8a07-2e2ffcb96545'",",'Col':",COLUMN(BCTaiSan_06027!D60),",'Row':",ROW(BCTaiSan_06027!D60),",","'Format':'numberic'",",'Value':'",SUBSTITUTE(BCTaiSan_06027!D60,"'","\'"),"','TargetCode':''}")</f>
        <v>{'SheetId':'0e67e680-b807-4d33-99c0-7b78881f5ae3','UId':'7104513d-d6f9-4449-8a07-2e2ffcb96545','Col':4,'Row':60,'Format':'numberic','Value':'13287425.62','TargetCode':''}</v>
      </c>
    </row>
    <row r="122" ht="12.75">
      <c r="A122" t="str">
        <f>CONCATENATE("{'SheetId':'0e67e680-b807-4d33-99c0-7b78881f5ae3'",",","'UId':'3e6dbc06-a87f-42e5-8f05-e55e94914d01'",",'Col':",COLUMN(BCTaiSan_06027!E60),",'Row':",ROW(BCTaiSan_06027!E60),",","'Format':'numberic'",",'Value':'",SUBSTITUTE(BCTaiSan_06027!E60,"'","\'"),"','TargetCode':''}")</f>
        <v>{'SheetId':'0e67e680-b807-4d33-99c0-7b78881f5ae3','UId':'3e6dbc06-a87f-42e5-8f05-e55e94914d01','Col':5,'Row':60,'Format':'numberic','Value':'13251771.02','TargetCode':''}</v>
      </c>
    </row>
    <row r="123" ht="12.75">
      <c r="A123" t="str">
        <f>CONCATENATE("{'SheetId':'0e67e680-b807-4d33-99c0-7b78881f5ae3'",",","'UId':'f428fa58-01e3-47d4-8c5d-1c46168be529'",",'Col':",COLUMN(BCTaiSan_06027!F60),",'Row':",ROW(BCTaiSan_06027!F60),",","'Format':'numberic'",",'Value':'",SUBSTITUTE(BCTaiSan_06027!F60,"'","\'"),"','TargetCode':''}")</f>
        <v>{'SheetId':'0e67e680-b807-4d33-99c0-7b78881f5ae3','UId':'f428fa58-01e3-47d4-8c5d-1c46168be529','Col':6,'Row':60,'Format':'numberic','Value':'2.29522898621157','TargetCode':''}</v>
      </c>
    </row>
    <row r="124" ht="12.75">
      <c r="A124" t="str">
        <f>CONCATENATE("{'SheetId':'0e67e680-b807-4d33-99c0-7b78881f5ae3'",",","'UId':'4e4f6161-da0f-463f-8dd1-39772b1d4eda'",",'Col':",COLUMN(BCTaiSan_06027!D61),",'Row':",ROW(BCTaiSan_06027!D61),",","'Format':'numberic'",",'Value':'",SUBSTITUTE(BCTaiSan_06027!D61,"'","\'"),"','TargetCode':''}")</f>
        <v>{'SheetId':'0e67e680-b807-4d33-99c0-7b78881f5ae3','UId':'4e4f6161-da0f-463f-8dd1-39772b1d4eda','Col':4,'Row':61,'Format':'numberic','Value':'11716','TargetCode':''}</v>
      </c>
    </row>
    <row r="125" ht="12.75">
      <c r="A125" t="str">
        <f>CONCATENATE("{'SheetId':'0e67e680-b807-4d33-99c0-7b78881f5ae3'",",","'UId':'4a847a8c-942e-443a-8eae-7a36b88630ea'",",'Col':",COLUMN(BCTaiSan_06027!E61),",'Row':",ROW(BCTaiSan_06027!E61),",","'Format':'numberic'",",'Value':'",SUBSTITUTE(BCTaiSan_06027!E61,"'","\'"),"','TargetCode':''}")</f>
        <v>{'SheetId':'0e67e680-b807-4d33-99c0-7b78881f5ae3','UId':'4a847a8c-942e-443a-8eae-7a36b88630ea','Col':5,'Row':61,'Format':'numberic','Value':'11662.78','TargetCode':''}</v>
      </c>
    </row>
    <row r="126" ht="12.75">
      <c r="A126" t="str">
        <f>CONCATENATE("{'SheetId':'0e67e680-b807-4d33-99c0-7b78881f5ae3'",",","'UId':'b1a27640-3dfd-4efe-90b1-884e8ae97752'",",'Col':",COLUMN(BCTaiSan_06027!F61),",'Row':",ROW(BCTaiSan_06027!F61),",","'Format':'numberic'",",'Value':'",SUBSTITUTE(BCTaiSan_06027!F61,"'","\'"),"','TargetCode':''}")</f>
        <v>{'SheetId':'0e67e680-b807-4d33-99c0-7b78881f5ae3','UId':'b1a27640-3dfd-4efe-90b1-884e8ae97752','Col':6,'Row':61,'Format':'numberic','Value':'1.07001394598238','TargetCode':''}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{'SheetId':'9e57442d-faa2-4732-bfe8-6082c7f4cc3b','UId':'1ab6082b-49bd-46b5-a368-d8740fb12834','Col':4,'Row':2,'Format':'numberic','Value':'1067484896','TargetCode':''}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{'SheetId':'9e57442d-faa2-4732-bfe8-6082c7f4cc3b','UId':'220cbdc8-4631-4f07-a522-f901ab9a56b6','Col':5,'Row':2,'Format':'numberic','Value':'1042262182','TargetCode':''}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{'SheetId':'9e57442d-faa2-4732-bfe8-6082c7f4cc3b','UId':'44591e3f-5579-49aa-bc70-68808b3d1875','Col':6,'Row':2,'Format':'numberic','Value':'1067484896','TargetCode':''}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{'SheetId':'9e57442d-faa2-4732-bfe8-6082c7f4cc3b','UId':'469f6a2b-25ef-4e27-93c5-0caee9db4d81','Col':4,'Row':5,'ColDynamic':4,'RowDynamic':4,'Format':'numberic','Value':'715974817','TargetCode':''}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{'SheetId':'9e57442d-faa2-4732-bfe8-6082c7f4cc3b','UId':'7b8d3f89-6827-40c2-b297-cf7a42237b42','Col':5,'Row':5,'ColDynamic':5,'RowDynamic':4,'Format':'numberic','Value':'638718242','TargetCode':''}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{'SheetId':'9e57442d-faa2-4732-bfe8-6082c7f4cc3b','UId':'4ae5c9f2-f277-4de6-a00c-b59eae1b7410','Col':6,'Row':5,'ColDynamic':6,'RowDynamic':4,'Format':'numberic','Value':'715974817','TargetCode':''}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{'SheetId':'9e57442d-faa2-4732-bfe8-6082c7f4cc3b','UId':'5cf117a3-96d2-4aaf-916d-02b16ba83420','Col':4,'Row':7,'ColDynamic':4,'RowDynamic':4,'Format':'numberic','Value':'351510079','TargetCode':''}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{'SheetId':'9e57442d-faa2-4732-bfe8-6082c7f4cc3b','UId':'89c23fea-c054-41d5-9d1e-0958d45c7a95','Col':5,'Row':7,'ColDynamic':5,'RowDynamic':4,'Format':'numberic','Value':'403543940','TargetCode':''}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{'SheetId':'9e57442d-faa2-4732-bfe8-6082c7f4cc3b','UId':'d5829e20-95a8-4535-904c-7e09f2cdc9f2','Col':6,'Row':7,'ColDynamic':6,'RowDynamic':4,'Format':'numberic','Value':'351510079','TargetCode':''}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{'SheetId':'9e57442d-faa2-4732-bfe8-6082c7f4cc3b','UId':'21f3c77c-886e-43f3-9ba5-fdc740bf45a7','Col':4,'Row':11,'ColDynamic':4,'RowDynamic':8,'Format':'numberic','Value':'190134725','TargetCode':''}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{'SheetId':'9e57442d-faa2-4732-bfe8-6082c7f4cc3b','UId':'fff53ed1-05e1-4ac8-8249-2f48edf9fa14','Col':5,'Row':11,'ColDynamic':5,'RowDynamic':8,'Format':'numberic','Value':'184492690','TargetCode':''}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{'SheetId':'9e57442d-faa2-4732-bfe8-6082c7f4cc3b','UId':'c1a4252e-e2cb-4233-bed1-d3afc836ccc8','Col':6,'Row':11,'ColDynamic':6,'RowDynamic':8,'Format':'numberic','Value':'190134725','TargetCode':''}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{'SheetId':'9e57442d-faa2-4732-bfe8-6082c7f4cc3b','UId':'2b4c7218-ef2f-452d-80ea-cb1d29493e04','Col':4,'Row':12,'Format':'numberic','Value':'111910393','TargetCode':''}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{'SheetId':'9e57442d-faa2-4732-bfe8-6082c7f4cc3b','UId':'2916fb19-bceb-454d-ad42-4fc7a299a2a3','Col':5,'Row':12,'Format':'numberic','Value':'111000600','TargetCode':''}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{'SheetId':'9e57442d-faa2-4732-bfe8-6082c7f4cc3b','UId':'4e500903-fadf-4a73-8849-257ec68842d0','Col':6,'Row':12,'Format':'numberic','Value':'111910393','TargetCode':''}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{'SheetId':'9e57442d-faa2-4732-bfe8-6082c7f4cc3b','UId':'157e5771-4dd4-4ed6-838c-69dd228515cd','Col':4,'Row':14,'ColDynamic':4,'RowDynamic':11,'Format':'numberic','Value':'27869470','TargetCode':''}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{'SheetId':'9e57442d-faa2-4732-bfe8-6082c7f4cc3b','UId':'1e7708d3-6d2b-4639-8d85-59b3c9bf16f5','Col':5,'Row':14,'ColDynamic':5,'RowDynamic':11,'Format':'numberic','Value':'25626630','TargetCode':''}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{'SheetId':'9e57442d-faa2-4732-bfe8-6082c7f4cc3b','UId':'18031c0a-5fc4-4a35-8331-a60cef3972fd','Col':6,'Row':14,'ColDynamic':6,'RowDynamic':11,'Format':'numberic','Value':'27869470','TargetCode':''}</v>
      </c>
    </row>
    <row r="166" ht="12.75">
      <c r="A166" t="str">
        <f>CONCATENATE("{'SheetId':'9e57442d-faa2-4732-bfe8-6082c7f4cc3b'",",","'UId':'e9ca383c-5709-4691-85b7-b057e6160cd1'",",'Col':",COLUMN(BCKetQuaHoatDong_06028!A19),",'Row':",ROW(BCKetQuaHoatDong_06028!A19),",","'ColDynamic':",COLUMN(BCKetQuaHoatDong_06028!A9),",","'RowDynamic':",ROW(BCKetQuaHoatDong_06028!A9),",","'Format':'numberic'",",'Value':'",SUBSTITUTE(BCKetQuaHoatDong_06028!A19,"'","\'"),"','TargetCode':''}")</f>
        <v>{'SheetId':'9e57442d-faa2-4732-bfe8-6082c7f4cc3b','UId':'e9ca383c-5709-4691-85b7-b057e6160cd1','Col':1,'Row':19,'ColDynamic':1,'RowDynamic':9,'Format':'numberic','Value':'','TargetCode':''}</v>
      </c>
    </row>
    <row r="167" ht="12.75">
      <c r="A167" t="str">
        <f>CONCATENATE("{'SheetId':'9e57442d-faa2-4732-bfe8-6082c7f4cc3b'",",","'UId':'bb4c4e63-9ff1-4c7f-9c20-cbf1eb834411'",",'Col':",COLUMN(BCKetQuaHoatDong_06028!B19),",'Row':",ROW(BCKetQuaHoatDong_06028!B19),",","'ColDynamic':",COLUMN(BCKetQuaHoatDong_06028!B9),",","'RowDynamic':",ROW(BCKetQuaHoatDong_06028!B9),",","'Format':'string'",",'Value':'",SUBSTITUTE(BCKetQuaHoatDong_06028!B19,"'","\'"),"','TargetCode':''}")</f>
        <v>{'SheetId':'9e57442d-faa2-4732-bfe8-6082c7f4cc3b','UId':'bb4c4e63-9ff1-4c7f-9c20-cbf1eb834411','Col':2,'Row':19,'ColDynamic':2,'RowDynamic':9,'Format':'string','Value':'','TargetCode':''}</v>
      </c>
    </row>
    <row r="168" ht="12.75">
      <c r="A168" t="str">
        <f>CONCATENATE("{'SheetId':'9e57442d-faa2-4732-bfe8-6082c7f4cc3b'",",","'UId':'cf469b2e-604b-4b36-a962-51a2cb87d71b'",",'Col':",COLUMN(BCKetQuaHoatDong_06028!C19),",'Row':",ROW(BCKetQuaHoatDong_06028!C19),",","'ColDynamic':",COLUMN(BCKetQuaHoatDong_06028!C9),",","'RowDynamic':",ROW(BCKetQuaHoatDong_06028!C9),",","'Format':'numberic'",",'Value':'",SUBSTITUTE(BCKetQuaHoatDong_06028!C19,"'","\'"),"','TargetCode':''}")</f>
        <v>{'SheetId':'9e57442d-faa2-4732-bfe8-6082c7f4cc3b','UId':'cf469b2e-604b-4b36-a962-51a2cb87d71b','Col':3,'Row':19,'ColDynamic':3,'RowDynamic':9,'Format':'numberic','Value':'','TargetCode':''}</v>
      </c>
    </row>
    <row r="169" ht="12.75">
      <c r="A169" t="str">
        <f>CONCATENATE("{'SheetId':'9e57442d-faa2-4732-bfe8-6082c7f4cc3b'",",","'UId':'7236a2f7-3d85-4186-bd79-f815a5305bc0'",",'Col':",COLUMN(BCKetQuaHoatDong_06028!D19),",'Row':",ROW(BCKetQuaHoatDong_06028!D19),",","'ColDynamic':",COLUMN(BCKetQuaHoatDong_06028!D9),",","'RowDynamic':",ROW(BCKetQuaHoatDong_06028!D9),",","'Format':'numberic'",",'Value':'",SUBSTITUTE(BCKetQuaHoatDong_06028!D19,"'","\'"),"','TargetCode':''}")</f>
        <v>{'SheetId':'9e57442d-faa2-4732-bfe8-6082c7f4cc3b','UId':'7236a2f7-3d85-4186-bd79-f815a5305bc0','Col':4,'Row':19,'ColDynamic':4,'RowDynamic':9,'Format':'numberic','Value':'','TargetCode':''}</v>
      </c>
    </row>
    <row r="170" ht="12.75">
      <c r="A170" t="str">
        <f>CONCATENATE("{'SheetId':'9e57442d-faa2-4732-bfe8-6082c7f4cc3b'",",","'UId':'41d51be1-826a-424b-a1c3-9f433e0fa1e0'",",'Col':",COLUMN(BCKetQuaHoatDong_06028!E19),",'Row':",ROW(BCKetQuaHoatDong_06028!E19),",","'ColDynamic':",COLUMN(BCKetQuaHoatDong_06028!E9),",","'RowDynamic':",ROW(BCKetQuaHoatDong_06028!E9),",","'Format':'numberic'",",'Value':'",SUBSTITUTE(BCKetQuaHoatDong_06028!E19,"'","\'"),"','TargetCode':''}")</f>
        <v>{'SheetId':'9e57442d-faa2-4732-bfe8-6082c7f4cc3b','UId':'41d51be1-826a-424b-a1c3-9f433e0fa1e0','Col':5,'Row':19,'ColDynamic':5,'RowDynamic':9,'Format':'numberic','Value':'','TargetCode':''}</v>
      </c>
    </row>
    <row r="171" ht="12.75">
      <c r="A171" t="str">
        <f>CONCATENATE("{'SheetId':'9e57442d-faa2-4732-bfe8-6082c7f4cc3b'",",","'UId':'99b24644-99ee-4236-97d6-f31a397db047'",",'Col':",COLUMN(BCKetQuaHoatDong_06028!F19),",'Row':",ROW(BCKetQuaHoatDong_06028!F19),",","'ColDynamic':",COLUMN(BCKetQuaHoatDong_06028!F9),",","'RowDynamic':",ROW(BCKetQuaHoatDong_06028!F9),",","'Format':'numberic'",",'Value':'",SUBSTITUTE(BCKetQuaHoatDong_06028!F19,"'","\'"),"','TargetCode':''}")</f>
        <v>{'SheetId':'9e57442d-faa2-4732-bfe8-6082c7f4cc3b','UId':'99b24644-99ee-4236-97d6-f31a397db047','Col':6,'Row':19,'ColDynamic':6,'RowDynamic':9,'Format':'numberic','Value':'','TargetCode':''}</v>
      </c>
    </row>
    <row r="172" ht="12.75">
      <c r="A172" t="str">
        <f>CONCATENATE("{'SheetId':'9e57442d-faa2-4732-bfe8-6082c7f4cc3b'",",","'UId':'963cdae6-2163-4975-9a2a-f08497c7292d'",",'Col':",COLUMN(BCKetQuaHoatDong_06028!D20),",'Row':",ROW(BCKetQuaHoatDong_06028!D20),",","'Format':'numberic'",",'Value':'",SUBSTITUTE(BCKetQuaHoatDong_06028!D20,"'","\'"),"','TargetCode':''}")</f>
        <v>{'SheetId':'9e57442d-faa2-4732-bfe8-6082c7f4cc3b','UId':'963cdae6-2163-4975-9a2a-f08497c7292d','Col':4,'Row':20,'Format':'numberic','Value':'27500000','TargetCode':''}</v>
      </c>
    </row>
    <row r="173" ht="12.75">
      <c r="A173" t="str">
        <f>CONCATENATE("{'SheetId':'9e57442d-faa2-4732-bfe8-6082c7f4cc3b'",",","'UId':'85eed99f-bfdc-4be7-9967-72d9b1d67a5b'",",'Col':",COLUMN(BCKetQuaHoatDong_06028!E20),",'Row':",ROW(BCKetQuaHoatDong_06028!E20),",","'Format':'numberic'",",'Value':'",SUBSTITUTE(BCKetQuaHoatDong_06028!E20,"'","\'"),"','TargetCode':''}")</f>
        <v>{'SheetId':'9e57442d-faa2-4732-bfe8-6082c7f4cc3b','UId':'85eed99f-bfdc-4be7-9967-72d9b1d67a5b','Col':5,'Row':20,'Format':'numberic','Value':'27500000','TargetCode':''}</v>
      </c>
    </row>
    <row r="174" ht="12.75">
      <c r="A174" t="str">
        <f>CONCATENATE("{'SheetId':'9e57442d-faa2-4732-bfe8-6082c7f4cc3b'",",","'UId':'a66486eb-4505-4714-830d-ba2c3c0c6cd7'",",'Col':",COLUMN(BCKetQuaHoatDong_06028!F20),",'Row':",ROW(BCKetQuaHoatDong_06028!F20),",","'Format':'numberic'",",'Value':'",SUBSTITUTE(BCKetQuaHoatDong_06028!F20,"'","\'"),"','TargetCode':''}")</f>
        <v>{'SheetId':'9e57442d-faa2-4732-bfe8-6082c7f4cc3b','UId':'a66486eb-4505-4714-830d-ba2c3c0c6cd7','Col':6,'Row':20,'Format':'numberic','Value':'27500000','TargetCode':''}</v>
      </c>
    </row>
    <row r="175" ht="12.75">
      <c r="A175" t="str">
        <f>CONCATENATE("{'SheetId':'9e57442d-faa2-4732-bfe8-6082c7f4cc3b'",",","'UId':'c4d597d3-d405-427b-a1fc-b787dad001d1'",",'Col':",COLUMN(BCKetQuaHoatDong_06028!A23),",'Row':",ROW(BCKetQuaHoatDong_06028!A23),",","'ColDynamic':",COLUMN(BCKetQuaHoatDong_06028!A14),",","'RowDynamic':",ROW(BCKetQuaHoatDong_06028!A14),",","'Format':'numberic'",",'Value':'",SUBSTITUTE(BCKetQuaHoatDong_06028!A23,"'","\'"),"','TargetCode':''}")</f>
        <v>{'SheetId':'9e57442d-faa2-4732-bfe8-6082c7f4cc3b','UId':'c4d597d3-d405-427b-a1fc-b787dad001d1','Col':1,'Row':23,'ColDynamic':1,'RowDynamic':14,'Format':'numberic','Value':'','TargetCode':''}</v>
      </c>
    </row>
    <row r="176" ht="12.75">
      <c r="A176" t="str">
        <f>CONCATENATE("{'SheetId':'9e57442d-faa2-4732-bfe8-6082c7f4cc3b'",",","'UId':'34322b3d-66d9-48e2-a6ed-41ab46e75c3a'",",'Col':",COLUMN(BCKetQuaHoatDong_06028!B23),",'Row':",ROW(BCKetQuaHoatDong_06028!B23),",","'ColDynamic':",COLUMN(BCKetQuaHoatDong_06028!B14),",","'RowDynamic':",ROW(BCKetQuaHoatDong_06028!B14),",","'Format':'string'",",'Value':'",SUBSTITUTE(BCKetQuaHoatDong_06028!B23,"'","\'"),"','TargetCode':''}")</f>
        <v>{'SheetId':'9e57442d-faa2-4732-bfe8-6082c7f4cc3b','UId':'34322b3d-66d9-48e2-a6ed-41ab46e75c3a','Col':2,'Row':23,'ColDynamic':2,'RowDynamic':14,'Format':'string','Value':'','TargetCode':''}</v>
      </c>
    </row>
    <row r="177" ht="12.75">
      <c r="A177" t="str">
        <f>CONCATENATE("{'SheetId':'9e57442d-faa2-4732-bfe8-6082c7f4cc3b'",",","'UId':'aa871a8e-d54f-4ec3-8934-b4c5c8c253ff'",",'Col':",COLUMN(BCKetQuaHoatDong_06028!C23),",'Row':",ROW(BCKetQuaHoatDong_06028!C23),",","'ColDynamic':",COLUMN(BCKetQuaHoatDong_06028!C14),",","'RowDynamic':",ROW(BCKetQuaHoatDong_06028!C14),",","'Format':'numberic'",",'Value':'",SUBSTITUTE(BCKetQuaHoatDong_06028!C23,"'","\'"),"','TargetCode':''}")</f>
        <v>{'SheetId':'9e57442d-faa2-4732-bfe8-6082c7f4cc3b','UId':'aa871a8e-d54f-4ec3-8934-b4c5c8c253ff','Col':3,'Row':23,'ColDynamic':3,'RowDynamic':14,'Format':'numberic','Value':'','TargetCode':''}</v>
      </c>
    </row>
    <row r="178" ht="12.75">
      <c r="A178" t="str">
        <f>CONCATENATE("{'SheetId':'9e57442d-faa2-4732-bfe8-6082c7f4cc3b'",",","'UId':'5e304af1-37e8-46ce-b68f-96ac1c745279'",",'Col':",COLUMN(BCKetQuaHoatDong_06028!D23),",'Row':",ROW(BCKetQuaHoatDong_06028!D23),",","'ColDynamic':",COLUMN(BCKetQuaHoatDong_06028!D14),",","'RowDynamic':",ROW(BCKetQuaHoatDong_06028!D14),",","'Format':'numberic'",",'Value':'",SUBSTITUTE(BCKetQuaHoatDong_06028!D23,"'","\'"),"','TargetCode':''}")</f>
        <v>{'SheetId':'9e57442d-faa2-4732-bfe8-6082c7f4cc3b','UId':'5e304af1-37e8-46ce-b68f-96ac1c745279','Col':4,'Row':23,'ColDynamic':4,'RowDynamic':14,'Format':'numberic','Value':'','TargetCode':''}</v>
      </c>
    </row>
    <row r="179" ht="12.75">
      <c r="A179" t="str">
        <f>CONCATENATE("{'SheetId':'9e57442d-faa2-4732-bfe8-6082c7f4cc3b'",",","'UId':'02dcd5d3-3a5e-4c36-9978-8477f2721b9f'",",'Col':",COLUMN(BCKetQuaHoatDong_06028!E23),",'Row':",ROW(BCKetQuaHoatDong_06028!E23),",","'ColDynamic':",COLUMN(BCKetQuaHoatDong_06028!E14),",","'RowDynamic':",ROW(BCKetQuaHoatDong_06028!E14),",","'Format':'numberic'",",'Value':'",SUBSTITUTE(BCKetQuaHoatDong_06028!E23,"'","\'"),"','TargetCode':''}")</f>
        <v>{'SheetId':'9e57442d-faa2-4732-bfe8-6082c7f4cc3b','UId':'02dcd5d3-3a5e-4c36-9978-8477f2721b9f','Col':5,'Row':23,'ColDynamic':5,'RowDynamic':14,'Format':'numberic','Value':'','TargetCode':''}</v>
      </c>
    </row>
    <row r="180" ht="12.75">
      <c r="A180" t="str">
        <f>CONCATENATE("{'SheetId':'9e57442d-faa2-4732-bfe8-6082c7f4cc3b'",",","'UId':'73293ce3-f1c4-49bf-9519-202708440388'",",'Col':",COLUMN(BCKetQuaHoatDong_06028!F23),",'Row':",ROW(BCKetQuaHoatDong_06028!F23),",","'ColDynamic':",COLUMN(BCKetQuaHoatDong_06028!F14),",","'RowDynamic':",ROW(BCKetQuaHoatDong_06028!F14),",","'Format':'numberic'",",'Value':'",SUBSTITUTE(BCKetQuaHoatDong_06028!F23,"'","\'"),"','TargetCode':''}")</f>
        <v>{'SheetId':'9e57442d-faa2-4732-bfe8-6082c7f4cc3b','UId':'73293ce3-f1c4-49bf-9519-202708440388','Col':6,'Row':23,'ColDynamic':6,'RowDynamic':14,'Format':'numberic','Value':'','TargetCode':''}</v>
      </c>
    </row>
    <row r="181" ht="12.75">
      <c r="A181" t="str">
        <f>CONCATENATE("{'SheetId':'9e57442d-faa2-4732-bfe8-6082c7f4cc3b'",",","'UId':'88d7b788-924c-41b1-9024-06cb828a057d'",",'Col':",COLUMN(BCKetQuaHoatDong_06028!D24),",'Row':",ROW(BCKetQuaHoatDong_06028!D24),",","'Format':'numberic'",",'Value':'",SUBSTITUTE(BCKetQuaHoatDong_06028!D24,"'","\'"),"','TargetCode':''}")</f>
        <v>{'SheetId':'9e57442d-faa2-4732-bfe8-6082c7f4cc3b','UId':'88d7b788-924c-41b1-9024-06cb828a057d','Col':4,'Row':24,'Format':'numberic','Value':'','TargetCode':''}</v>
      </c>
    </row>
    <row r="182" ht="12.75">
      <c r="A182" t="str">
        <f>CONCATENATE("{'SheetId':'9e57442d-faa2-4732-bfe8-6082c7f4cc3b'",",","'UId':'56c81444-141c-4f3e-b219-ef50489aa3e6'",",'Col':",COLUMN(BCKetQuaHoatDong_06028!E24),",'Row':",ROW(BCKetQuaHoatDong_06028!E24),",","'Format':'numberic'",",'Value':'",SUBSTITUTE(BCKetQuaHoatDong_06028!E24,"'","\'"),"','TargetCode':''}")</f>
        <v>{'SheetId':'9e57442d-faa2-4732-bfe8-6082c7f4cc3b','UId':'56c81444-141c-4f3e-b219-ef50489aa3e6','Col':5,'Row':24,'Format':'numberic','Value':'','TargetCode':''}</v>
      </c>
    </row>
    <row r="183" ht="12.75">
      <c r="A183" t="str">
        <f>CONCATENATE("{'SheetId':'9e57442d-faa2-4732-bfe8-6082c7f4cc3b'",",","'UId':'54ce9134-61e6-447d-89c5-0f14962d3277'",",'Col':",COLUMN(BCKetQuaHoatDong_06028!F24),",'Row':",ROW(BCKetQuaHoatDong_06028!F24),",","'Format':'numberic'",",'Value':'",SUBSTITUTE(BCKetQuaHoatDong_06028!F24,"'","\'"),"','TargetCode':''}")</f>
        <v>{'SheetId':'9e57442d-faa2-4732-bfe8-6082c7f4cc3b','UId':'54ce9134-61e6-447d-89c5-0f14962d3277','Col':6,'Row':24,'Format':'numberic','Value':'','TargetCode':''}</v>
      </c>
    </row>
    <row r="184" ht="12.75">
      <c r="A184" t="str">
        <f>CONCATENATE("{'SheetId':'9e57442d-faa2-4732-bfe8-6082c7f4cc3b'",",","'UId':'d3cedd3c-516c-40e4-9090-8f026ffcdbb4'",",'Col':",COLUMN(BCKetQuaHoatDong_06028!A26),",'Row':",ROW(BCKetQuaHoatDong_06028!A26),",","'ColDynamic':",COLUMN(BCKetQuaHoatDong_06028!A25),",","'RowDynamic':",ROW(BCKetQuaHoatDong_06028!A25),",","'Format':'string'",",'Value':'",SUBSTITUTE(BCKetQuaHoatDong_06028!A26,"'","\'"),"','TargetCode':''}")</f>
        <v>{'SheetId':'9e57442d-faa2-4732-bfe8-6082c7f4cc3b','UId':'d3cedd3c-516c-40e4-9090-8f026ffcdbb4','Col':1,'Row':26,'ColDynamic':1,'RowDynamic':25,'Format':'string','Value':'5','TargetCode':''}</v>
      </c>
    </row>
    <row r="185" ht="12.75">
      <c r="A185" t="str">
        <f>CONCATENATE("{'SheetId':'9e57442d-faa2-4732-bfe8-6082c7f4cc3b'",",","'UId':'fd9e1759-2314-441b-99e2-496ec3bce44d'",",'Col':",COLUMN(BCKetQuaHoatDong_06028!B26),",'Row':",ROW(BCKetQuaHoatDong_06028!B26),",","'ColDynamic':",COLUMN(BCKetQuaHoatDong_06028!B25),",","'RowDynamic':",ROW(BCKetQuaHoatDong_06028!B25),",","'Format':'string'",",'Value':'",SUBSTITUTE(BCKetQuaHoatDong_06028!B26,"'","\'"),"','TargetCode':''}")</f>
        <v>{'SheetId':'9e57442d-faa2-4732-bfe8-6082c7f4cc3b','UId':'fd9e1759-2314-441b-99e2-496ec3bce44d','Col':2,'Row':26,'ColDynamic':2,'RowDynamic':25,'Format':'string','Value':'Chi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26),",'Row':",ROW(BCKetQuaHoatDong_06028!C26),",","'ColDynamic':",COLUMN(BCKetQuaHoatDong_06028!C25),",","'RowDynamic':",ROW(BCKetQuaHoatDong_06028!C25),",","'Format':'string'",",'Value':'",SUBSTITUTE(BCKetQuaHoatDong_06028!C26,"'","\'"),"','TargetCode':''}")</f>
        <v>{'SheetId':'9e57442d-faa2-4732-bfe8-6082c7f4cc3b','UId':'b2af877d-5bdc-45cb-ab99-97d8cb5e9a21','Col':3,'Row':26,'ColDynamic':3,'RowDynamic':25,'Format':'string','Value':'2232','TargetCode':''}</v>
      </c>
    </row>
    <row r="187" ht="12.75">
      <c r="A187" t="str">
        <f>CONCATENATE("{'SheetId':'9e57442d-faa2-4732-bfe8-6082c7f4cc3b'",",","'UId':'6055e573-b541-4e55-beea-404337a11df2'",",'Col':",COLUMN(BCKetQuaHoatDong_06028!D26),",'Row':",ROW(BCKetQuaHoatDong_06028!D26),",","'ColDynamic':",COLUMN(BCKetQuaHoatDong_06028!D25),",","'RowDynamic':",ROW(BCKetQuaHoatDong_06028!D25),",","'Format':'numberic'",",'Value':'",SUBSTITUTE(BCKetQuaHoatDong_06028!D26,"'","\'"),"','TargetCode':''}")</f>
        <v>{'SheetId':'9e57442d-faa2-4732-bfe8-6082c7f4cc3b','UId':'6055e573-b541-4e55-beea-404337a11df2','Col':4,'Row':26,'ColDynamic':4,'RowDynamic':25,'Format':'numberic','Value':'','TargetCode':''}</v>
      </c>
    </row>
    <row r="188" ht="12.75">
      <c r="A188" t="str">
        <f>CONCATENATE("{'SheetId':'9e57442d-faa2-4732-bfe8-6082c7f4cc3b'",",","'UId':'df594e12-6bc1-400d-8d36-4adbfe7ab6dc'",",'Col':",COLUMN(BCKetQuaHoatDong_06028!E26),",'Row':",ROW(BCKetQuaHoatDong_06028!E26),",","'ColDynamic':",COLUMN(BCKetQuaHoatDong_06028!E25),",","'RowDynamic':",ROW(BCKetQuaHoatDong_06028!E25),",","'Format':'numberic'",",'Value':'",SUBSTITUTE(BCKetQuaHoatDong_06028!E26,"'","\'"),"','TargetCode':''}")</f>
        <v>{'SheetId':'9e57442d-faa2-4732-bfe8-6082c7f4cc3b','UId':'df594e12-6bc1-400d-8d36-4adbfe7ab6dc','Col':5,'Row':26,'ColDynamic':5,'RowDynamic':25,'Format':'numberic','Value':'','TargetCode':''}</v>
      </c>
    </row>
    <row r="189" ht="12.75">
      <c r="A189" t="str">
        <f>CONCATENATE("{'SheetId':'9e57442d-faa2-4732-bfe8-6082c7f4cc3b'",",","'UId':'c9faeb9c-ebb7-482f-b552-2ddd9e5785fb'",",'Col':",COLUMN(BCKetQuaHoatDong_06028!F26),",'Row':",ROW(BCKetQuaHoatDong_06028!F26),",","'ColDynamic':",COLUMN(BCKetQuaHoatDong_06028!F25),",","'RowDynamic':",ROW(BCKetQuaHoatDong_06028!F25),",","'Format':'numberic'",",'Value':'",SUBSTITUTE(BCKetQuaHoatDong_06028!F26,"'","\'"),"','TargetCode':''}")</f>
        <v>{'SheetId':'9e57442d-faa2-4732-bfe8-6082c7f4cc3b','UId':'c9faeb9c-ebb7-482f-b552-2ddd9e5785fb','Col':6,'Row':26,'ColDynamic':6,'RowDynamic':25,'Format':'numberic','Value':'','TargetCode':''}</v>
      </c>
    </row>
    <row r="190" ht="12.75">
      <c r="A190" t="str">
        <f>CONCATENATE("{'SheetId':'9e57442d-faa2-4732-bfe8-6082c7f4cc3b'",",","'UId':'86daf83b-4be9-4f49-9d86-743676c0a3ca'",",'Col':",COLUMN(BCKetQuaHoatDong_06028!A28),",'Row':",ROW(BCKetQuaHoatDong_06028!A28),",","'ColDynamic':",COLUMN(BCKetQuaHoatDong_06028!A27),",","'RowDynamic':",ROW(BCKetQuaHoatDong_06028!A27),",","'Format':'string'",",'Value':'",SUBSTITUTE(BCKetQuaHoatDong_06028!A28,"'","\'"),"','TargetCode':''}")</f>
        <v>{'SheetId':'9e57442d-faa2-4732-bfe8-6082c7f4cc3b','UId':'86daf83b-4be9-4f49-9d86-743676c0a3ca','Col':1,'Row':28,'ColDynamic':1,'RowDynamic':27,'Format':'string','Value':'6','TargetCode':''}</v>
      </c>
    </row>
    <row r="191" ht="12.75">
      <c r="A191" t="str">
        <f>CONCATENATE("{'SheetId':'9e57442d-faa2-4732-bfe8-6082c7f4cc3b'",",","'UId':'42a9a354-81a5-4cba-969a-2260ca48b201'",",'Col':",COLUMN(BCKetQuaHoatDong_06028!B28),",'Row':",ROW(BCKetQuaHoatDong_06028!B28),",","'ColDynamic':",COLUMN(BCKetQuaHoatDong_06028!B27),",","'RowDynamic':",ROW(BCKetQuaHoatDong_06028!B27),",","'Format':'string'",",'Value':'",SUBSTITUTE(BCKetQuaHoatDong_06028!B28,"'","\'"),"','TargetCode':''}")</f>
        <v>{'SheetId':'9e57442d-faa2-4732-bfe8-6082c7f4cc3b','UId':'42a9a354-81a5-4cba-969a-2260ca48b201','Col':2,'Row':28,'ColDynamic':2,'RowDynamic':27,'Format':'string','Value':'Chi phí kiểm toán trả cho tổ chức kiểm toán;','TargetCode':''}</v>
      </c>
    </row>
    <row r="192" ht="12.75">
      <c r="A192" t="str">
        <f>CONCATENATE("{'SheetId':'9e57442d-faa2-4732-bfe8-6082c7f4cc3b'",",","'UId':'7248306d-423b-4b61-8f1b-e35d71b323f3'",",'Col':",COLUMN(BCKetQuaHoatDong_06028!C28),",'Row':",ROW(BCKetQuaHoatDong_06028!C28),",","'ColDynamic':",COLUMN(BCKetQuaHoatDong_06028!C27),",","'RowDynamic':",ROW(BCKetQuaHoatDong_06028!C27),",","'Format':'string'",",'Value':'",SUBSTITUTE(BCKetQuaHoatDong_06028!C28,"'","\'"),"','TargetCode':''}")</f>
        <v>{'SheetId':'9e57442d-faa2-4732-bfe8-6082c7f4cc3b','UId':'7248306d-423b-4b61-8f1b-e35d71b323f3','Col':3,'Row':28,'ColDynamic':3,'RowDynamic':27,'Format':'string','Value':'2228','TargetCode':''}</v>
      </c>
    </row>
    <row r="193" ht="12.75">
      <c r="A193" t="str">
        <f>CONCATENATE("{'SheetId':'9e57442d-faa2-4732-bfe8-6082c7f4cc3b'",",","'UId':'35799ba3-fea0-48d2-b27f-56054b206bd2'",",'Col':",COLUMN(BCKetQuaHoatDong_06028!D28),",'Row':",ROW(BCKetQuaHoatDong_06028!D28),",","'ColDynamic':",COLUMN(BCKetQuaHoatDong_06028!D27),",","'RowDynamic':",ROW(BCKetQuaHoatDong_06028!D27),",","'Format':'numberic'",",'Value':'",SUBSTITUTE(BCKetQuaHoatDong_06028!D28,"'","\'"),"','TargetCode':''}")</f>
        <v>{'SheetId':'9e57442d-faa2-4732-bfe8-6082c7f4cc3b','UId':'35799ba3-fea0-48d2-b27f-56054b206bd2','Col':4,'Row':28,'ColDynamic':4,'RowDynamic':27,'Format':'numberic','Value':'7473976','TargetCode':''}</v>
      </c>
    </row>
    <row r="194" ht="12.75">
      <c r="A194" t="str">
        <f>CONCATENATE("{'SheetId':'9e57442d-faa2-4732-bfe8-6082c7f4cc3b'",",","'UId':'1863aaae-65a9-4f9f-9c5d-b3b2a95e519b'",",'Col':",COLUMN(BCKetQuaHoatDong_06028!E28),",'Row':",ROW(BCKetQuaHoatDong_06028!E28),",","'ColDynamic':",COLUMN(BCKetQuaHoatDong_06028!E27),",","'RowDynamic':",ROW(BCKetQuaHoatDong_06028!E27),",","'Format':'numberic'",",'Value':'",SUBSTITUTE(BCKetQuaHoatDong_06028!E28,"'","\'"),"','TargetCode':''}")</f>
        <v>{'SheetId':'9e57442d-faa2-4732-bfe8-6082c7f4cc3b','UId':'1863aaae-65a9-4f9f-9c5d-b3b2a95e519b','Col':5,'Row':28,'ColDynamic':5,'RowDynamic':27,'Format':'numberic','Value':'7473881','TargetCode':''}</v>
      </c>
    </row>
    <row r="195" ht="12.75">
      <c r="A195" t="str">
        <f>CONCATENATE("{'SheetId':'9e57442d-faa2-4732-bfe8-6082c7f4cc3b'",",","'UId':'45a838e8-921d-463e-8daa-a5c771a772aa'",",'Col':",COLUMN(BCKetQuaHoatDong_06028!F28),",'Row':",ROW(BCKetQuaHoatDong_06028!F28),",","'ColDynamic':",COLUMN(BCKetQuaHoatDong_06028!F27),",","'RowDynamic':",ROW(BCKetQuaHoatDong_06028!F27),",","'Format':'numberic'",",'Value':'",SUBSTITUTE(BCKetQuaHoatDong_06028!F28,"'","\'"),"','TargetCode':''}")</f>
        <v>{'SheetId':'9e57442d-faa2-4732-bfe8-6082c7f4cc3b','UId':'45a838e8-921d-463e-8daa-a5c771a772aa','Col':6,'Row':28,'ColDynamic':6,'RowDynamic':27,'Format':'numberic','Value':'7473976','TargetCode':''}</v>
      </c>
    </row>
    <row r="196" ht="12.75">
      <c r="A196" t="str">
        <f>CONCATENATE("{'SheetId':'9e57442d-faa2-4732-bfe8-6082c7f4cc3b'",",","'UId':'92637f9d-bdc5-457b-88b2-aff969e13803'",",'Col':",COLUMN(BCKetQuaHoatDong_06028!A30),",'Row':",ROW(BCKetQuaHoatDong_06028!A30),",","'ColDynamic':",COLUMN(BCKetQuaHoatDong_06028!A23),",","'RowDynamic':",ROW(BCKetQuaHoatDong_06028!A23),",","'Format':'string'",",'Value':'",SUBSTITUTE(BCKetQuaHoatDong_06028!A30,"'","\'"),"','TargetCode':''}")</f>
        <v>{'SheetId':'9e57442d-faa2-4732-bfe8-6082c7f4cc3b','UId':'92637f9d-bdc5-457b-88b2-aff969e13803','Col':1,'Row':30,'ColDynamic':1,'RowDynamic':23,'Format':'string','Value':'7','TargetCode':''}</v>
      </c>
    </row>
    <row r="197" ht="12.75">
      <c r="A197" t="str">
        <f>CONCATENATE("{'SheetId':'9e57442d-faa2-4732-bfe8-6082c7f4cc3b'",",","'UId':'9324259d-0980-483f-b763-35d2a940c493'",",'Col':",COLUMN(BCKetQuaHoatDong_06028!B30),",'Row':",ROW(BCKetQuaHoatDong_06028!B30),",","'ColDynamic':",COLUMN(BCKetQuaHoatDong_06028!B23),",","'RowDynamic':",ROW(BCKetQuaHoatDong_06028!B23),",","'Format':'string'",",'Value':'",SUBSTITUTE(BCKetQuaHoatDong_06028!B30,"'","\'"),"','TargetCode':''}")</f>
        <v>{'SheetId':'9e57442d-faa2-4732-bfe8-6082c7f4cc3b','UId':'9324259d-0980-483f-b763-35d2a940c493','Col':2,'Row':30,'ColDynamic':2,'RowDynamic':23,'Format':'string','Value':'Chi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30),",'Row':",ROW(BCKetQuaHoatDong_06028!C30),",","'ColDynamic':",COLUMN(BCKetQuaHoatDong_06028!C23),",","'RowDynamic':",ROW(BCKetQuaHoatDong_06028!C23),",","'Format':'string'",",'Value':'",SUBSTITUTE(BCKetQuaHoatDong_06028!C30,"'","\'"),"','TargetCode':''}")</f>
        <v>{'SheetId':'9e57442d-faa2-4732-bfe8-6082c7f4cc3b','UId':'67c26905-bf35-4a04-be60-4f96f03e26a6','Col':3,'Row':30,'ColDynamic':3,'RowDynamic':23,'Format':'string','Value':'2229','TargetCode':''}</v>
      </c>
    </row>
    <row r="199" ht="12.75">
      <c r="A199" t="str">
        <f>CONCATENATE("{'SheetId':'9e57442d-faa2-4732-bfe8-6082c7f4cc3b'",",","'UId':'1fe83977-2f78-4ce9-aa52-80fb62c52ad7'",",'Col':",COLUMN(BCKetQuaHoatDong_06028!D30),",'Row':",ROW(BCKetQuaHoatDong_06028!D30),",","'ColDynamic':",COLUMN(BCKetQuaHoatDong_06028!D23),",","'RowDynamic':",ROW(BCKetQuaHoatDong_06028!D23),",","'Format':'numberic'",",'Value':'",SUBSTITUTE(BCKetQuaHoatDong_06028!D30,"'","\'"),"','TargetCode':''}")</f>
        <v>{'SheetId':'9e57442d-faa2-4732-bfe8-6082c7f4cc3b','UId':'1fe83977-2f78-4ce9-aa52-80fb62c52ad7','Col':4,'Row':30,'ColDynamic':4,'RowDynamic':23,'Format':'numberic','Value':'12000000','TargetCode':''}</v>
      </c>
    </row>
    <row r="200" ht="12.75">
      <c r="A200" t="str">
        <f>CONCATENATE("{'SheetId':'9e57442d-faa2-4732-bfe8-6082c7f4cc3b'",",","'UId':'3e45938a-8b15-4a28-8d4e-6889d6469db5'",",'Col':",COLUMN(BCKetQuaHoatDong_06028!E30),",'Row':",ROW(BCKetQuaHoatDong_06028!E30),",","'ColDynamic':",COLUMN(BCKetQuaHoatDong_06028!E23),",","'RowDynamic':",ROW(BCKetQuaHoatDong_06028!E23),",","'Format':'numberic'",",'Value':'",SUBSTITUTE(BCKetQuaHoatDong_06028!E30,"'","\'"),"','TargetCode':''}")</f>
        <v>{'SheetId':'9e57442d-faa2-4732-bfe8-6082c7f4cc3b','UId':'3e45938a-8b15-4a28-8d4e-6889d6469db5','Col':5,'Row':30,'ColDynamic':5,'RowDynamic':23,'Format':'numberic','Value':'12000000','TargetCode':''}</v>
      </c>
    </row>
    <row r="201" ht="12.75">
      <c r="A201" t="str">
        <f>CONCATENATE("{'SheetId':'9e57442d-faa2-4732-bfe8-6082c7f4cc3b'",",","'UId':'3873886c-5e1c-44a4-ba3a-dae5f5accc8b'",",'Col':",COLUMN(BCKetQuaHoatDong_06028!F30),",'Row':",ROW(BCKetQuaHoatDong_06028!F30),",","'ColDynamic':",COLUMN(BCKetQuaHoatDong_06028!F23),",","'RowDynamic':",ROW(BCKetQuaHoatDong_06028!F23),",","'Format':'numberic'",",'Value':'",SUBSTITUTE(BCKetQuaHoatDong_06028!F30,"'","\'"),"','TargetCode':''}")</f>
        <v>{'SheetId':'9e57442d-faa2-4732-bfe8-6082c7f4cc3b','UId':'3873886c-5e1c-44a4-ba3a-dae5f5accc8b','Col':6,'Row':30,'ColDynamic':6,'RowDynamic':23,'Format':'numberic','Value':'12000000','TargetCode':''}</v>
      </c>
    </row>
    <row r="202" ht="12.75">
      <c r="A202" t="str">
        <f>CONCATENATE("{'SheetId':'9e57442d-faa2-4732-bfe8-6082c7f4cc3b'",",","'UId':'15e86dda-a54b-4326-8eb7-afbb7929b116'",",'Col':",COLUMN(BCKetQuaHoatDong_06028!A32),",'Row':",ROW(BCKetQuaHoatDong_06028!A32),",","'ColDynamic':",COLUMN(BCKetQuaHoatDong_06028!A21),",","'RowDynamic':",ROW(BCKetQuaHoatDong_06028!A21),",","'Format':'numberic'",",'Value':'",SUBSTITUTE(BCKetQuaHoatDong_06028!A32,"'","\'"),"','TargetCode':''}")</f>
        <v>{'SheetId':'9e57442d-faa2-4732-bfe8-6082c7f4cc3b','UId':'15e86dda-a54b-4326-8eb7-afbb7929b116','Col':1,'Row':32,'ColDynamic':1,'RowDynamic':21,'Format':'numberic','Value':'','TargetCode':''}</v>
      </c>
    </row>
    <row r="203" ht="12.75">
      <c r="A203" t="str">
        <f>CONCATENATE("{'SheetId':'9e57442d-faa2-4732-bfe8-6082c7f4cc3b'",",","'UId':'73810421-b7f7-40d7-95d6-b4923d77dc4e'",",'Col':",COLUMN(BCKetQuaHoatDong_06028!B32),",'Row':",ROW(BCKetQuaHoatDong_06028!B32),",","'ColDynamic':",COLUMN(BCKetQuaHoatDong_06028!B21),",","'RowDynamic':",ROW(BCKetQuaHoatDong_06028!B21),",","'Format':'string'",",'Value':'",SUBSTITUTE(BCKetQuaHoatDong_06028!B32,"'","\'"),"','TargetCode':''}")</f>
        <v>{'SheetId':'9e57442d-faa2-4732-bfe8-6082c7f4cc3b','UId':'73810421-b7f7-40d7-95d6-b4923d77dc4e','Col':2,'Row':32,'ColDynamic':2,'RowDynamic':21,'Format':'string','Value':'','TargetCode':''}</v>
      </c>
    </row>
    <row r="204" ht="12.75">
      <c r="A204" t="str">
        <f>CONCATENATE("{'SheetId':'9e57442d-faa2-4732-bfe8-6082c7f4cc3b'",",","'UId':'fa8bdb68-7be0-411f-9202-332d6807316c'",",'Col':",COLUMN(BCKetQuaHoatDong_06028!C32),",'Row':",ROW(BCKetQuaHoatDong_06028!C32),",","'ColDynamic':",COLUMN(BCKetQuaHoatDong_06028!C21),",","'RowDynamic':",ROW(BCKetQuaHoatDong_06028!C21),",","'Format':'numberic'",",'Value':'",SUBSTITUTE(BCKetQuaHoatDong_06028!C32,"'","\'"),"','TargetCode':''}")</f>
        <v>{'SheetId':'9e57442d-faa2-4732-bfe8-6082c7f4cc3b','UId':'fa8bdb68-7be0-411f-9202-332d6807316c','Col':3,'Row':32,'ColDynamic':3,'RowDynamic':21,'Format':'numberic','Value':'','TargetCode':''}</v>
      </c>
    </row>
    <row r="205" ht="12.75">
      <c r="A205" t="str">
        <f>CONCATENATE("{'SheetId':'9e57442d-faa2-4732-bfe8-6082c7f4cc3b'",",","'UId':'6e89f4c2-e229-478a-a50a-9e0592742b95'",",'Col':",COLUMN(BCKetQuaHoatDong_06028!D32),",'Row':",ROW(BCKetQuaHoatDong_06028!D32),",","'ColDynamic':",COLUMN(BCKetQuaHoatDong_06028!D21),",","'RowDynamic':",ROW(BCKetQuaHoatDong_06028!D21),",","'Format':'numberic'",",'Value':'",SUBSTITUTE(BCKetQuaHoatDong_06028!D32,"'","\'"),"','TargetCode':''}")</f>
        <v>{'SheetId':'9e57442d-faa2-4732-bfe8-6082c7f4cc3b','UId':'6e89f4c2-e229-478a-a50a-9e0592742b95','Col':4,'Row':32,'ColDynamic':4,'RowDynamic':21,'Format':'numberic','Value':'','TargetCode':''}</v>
      </c>
    </row>
    <row r="206" ht="12.75">
      <c r="A206" t="str">
        <f>CONCATENATE("{'SheetId':'9e57442d-faa2-4732-bfe8-6082c7f4cc3b'",",","'UId':'8eb70317-0c52-43e4-a50d-f13250c186b6'",",'Col':",COLUMN(BCKetQuaHoatDong_06028!E32),",'Row':",ROW(BCKetQuaHoatDong_06028!E32),",","'ColDynamic':",COLUMN(BCKetQuaHoatDong_06028!E21),",","'RowDynamic':",ROW(BCKetQuaHoatDong_06028!E21),",","'Format':'numberic'",",'Value':'",SUBSTITUTE(BCKetQuaHoatDong_06028!E32,"'","\'"),"','TargetCode':''}")</f>
        <v>{'SheetId':'9e57442d-faa2-4732-bfe8-6082c7f4cc3b','UId':'8eb70317-0c52-43e4-a50d-f13250c186b6','Col':5,'Row':32,'ColDynamic':5,'RowDynamic':21,'Format':'numberic','Value':'','TargetCode':''}</v>
      </c>
    </row>
    <row r="207" ht="12.75">
      <c r="A207" t="str">
        <f>CONCATENATE("{'SheetId':'9e57442d-faa2-4732-bfe8-6082c7f4cc3b'",",","'UId':'e790d9d2-07c7-4410-a57b-aa8d373644f1'",",'Col':",COLUMN(BCKetQuaHoatDong_06028!F32),",'Row':",ROW(BCKetQuaHoatDong_06028!F32),",","'ColDynamic':",COLUMN(BCKetQuaHoatDong_06028!F21),",","'RowDynamic':",ROW(BCKetQuaHoatDong_06028!F21),",","'Format':'numberic'",",'Value':'",SUBSTITUTE(BCKetQuaHoatDong_06028!F32,"'","\'"),"','TargetCode':''}")</f>
        <v>{'SheetId':'9e57442d-faa2-4732-bfe8-6082c7f4cc3b','UId':'e790d9d2-07c7-4410-a57b-aa8d373644f1','Col':6,'Row':32,'ColDynamic':6,'RowDynamic':21,'Format':'numberic','Value':'','TargetCode':''}</v>
      </c>
    </row>
    <row r="208" ht="12.75">
      <c r="A208" t="str">
        <f>CONCATENATE("{'SheetId':'9e57442d-faa2-4732-bfe8-6082c7f4cc3b'",",","'UId':'581705f2-b558-44e2-8b63-817b7dd987f8'",",'Col':",COLUMN(BCKetQuaHoatDong_06028!D33),",'Row':",ROW(BCKetQuaHoatDong_06028!D33),",","'Format':'numberic'",",'Value':'",SUBSTITUTE(BCKetQuaHoatDong_06028!D33,"'","\'"),"','TargetCode':''}")</f>
        <v>{'SheetId':'9e57442d-faa2-4732-bfe8-6082c7f4cc3b','UId':'581705f2-b558-44e2-8b63-817b7dd987f8','Col':4,'Row':33,'Format':'numberic','Value':'679454','TargetCode':''}</v>
      </c>
    </row>
    <row r="209" ht="12.75">
      <c r="A209" t="str">
        <f>CONCATENATE("{'SheetId':'9e57442d-faa2-4732-bfe8-6082c7f4cc3b'",",","'UId':'a342e52b-1996-43bd-aad7-3f3a098098b1'",",'Col':",COLUMN(BCKetQuaHoatDong_06028!E33),",'Row':",ROW(BCKetQuaHoatDong_06028!E33),",","'Format':'numberic'",",'Value':'",SUBSTITUTE(BCKetQuaHoatDong_06028!E33,"'","\'"),"','TargetCode':''}")</f>
        <v>{'SheetId':'9e57442d-faa2-4732-bfe8-6082c7f4cc3b','UId':'a342e52b-1996-43bd-aad7-3f3a098098b1','Col':5,'Row':33,'Format':'numberic','Value':'679434','TargetCode':''}</v>
      </c>
    </row>
    <row r="210" ht="12.75">
      <c r="A210" t="str">
        <f>CONCATENATE("{'SheetId':'9e57442d-faa2-4732-bfe8-6082c7f4cc3b'",",","'UId':'ae6443cc-5c55-4f1a-a361-ff2dd22018a3'",",'Col':",COLUMN(BCKetQuaHoatDong_06028!F33),",'Row':",ROW(BCKetQuaHoatDong_06028!F33),",","'Format':'numberic'",",'Value':'",SUBSTITUTE(BCKetQuaHoatDong_06028!F33,"'","\'"),"','TargetCode':''}")</f>
        <v>{'SheetId':'9e57442d-faa2-4732-bfe8-6082c7f4cc3b','UId':'ae6443cc-5c55-4f1a-a361-ff2dd22018a3','Col':6,'Row':33,'Format':'numberic','Value':'679454','TargetCode':''}</v>
      </c>
    </row>
    <row r="211" ht="12.75">
      <c r="A211" t="str">
        <f>CONCATENATE("{'SheetId':'9e57442d-faa2-4732-bfe8-6082c7f4cc3b'",",","'UId':'bcb48df1-b7bd-4f2c-bf76-37ec4b6cf56f'",",'Col':",COLUMN(BCKetQuaHoatDong_06028!A35),",'Row':",ROW(BCKetQuaHoatDong_06028!A35),",","'ColDynamic':",COLUMN(BCKetQuaHoatDong_06028!A25),",","'RowDynamic':",ROW(BCKetQuaHoatDong_06028!A25),",","'Format':'numberic'",",'Value':'",SUBSTITUTE(BCKetQuaHoatDong_06028!A35,"'","\'"),"','TargetCode':''}")</f>
        <v>{'SheetId':'9e57442d-faa2-4732-bfe8-6082c7f4cc3b','UId':'bcb48df1-b7bd-4f2c-bf76-37ec4b6cf56f','Col':1,'Row':35,'ColDynamic':1,'RowDynamic':25,'Format':'numberic','Value':'','TargetCode':''}</v>
      </c>
    </row>
    <row r="212" ht="12.75">
      <c r="A212" t="str">
        <f>CONCATENATE("{'SheetId':'9e57442d-faa2-4732-bfe8-6082c7f4cc3b'",",","'UId':'24de0f49-0a19-489f-940f-75cb0b19d5bd'",",'Col':",COLUMN(BCKetQuaHoatDong_06028!B35),",'Row':",ROW(BCKetQuaHoatDong_06028!B35),",","'ColDynamic':",COLUMN(BCKetQuaHoatDong_06028!B25),",","'RowDynamic':",ROW(BCKetQuaHoatDong_06028!B25),",","'Format':'string'",",'Value':'",SUBSTITUTE(BCKetQuaHoatDong_06028!B35,"'","\'"),"','TargetCode':''}")</f>
        <v>{'SheetId':'9e57442d-faa2-4732-bfe8-6082c7f4cc3b','UId':'24de0f49-0a19-489f-940f-75cb0b19d5bd','Col':2,'Row':35,'ColDynamic':2,'RowDynamic':25,'Format':'string','Value':'','TargetCode':''}</v>
      </c>
    </row>
    <row r="213" ht="12.75">
      <c r="A213" t="str">
        <f>CONCATENATE("{'SheetId':'9e57442d-faa2-4732-bfe8-6082c7f4cc3b'",",","'UId':'3edb652c-0c08-4cc3-a08e-49f67f5ed250'",",'Col':",COLUMN(BCKetQuaHoatDong_06028!C35),",'Row':",ROW(BCKetQuaHoatDong_06028!C35),",","'ColDynamic':",COLUMN(BCKetQuaHoatDong_06028!C25),",","'RowDynamic':",ROW(BCKetQuaHoatDong_06028!C25),",","'Format':'numberic'",",'Value':'",SUBSTITUTE(BCKetQuaHoatDong_06028!C35,"'","\'"),"','TargetCode':''}")</f>
        <v>{'SheetId':'9e57442d-faa2-4732-bfe8-6082c7f4cc3b','UId':'3edb652c-0c08-4cc3-a08e-49f67f5ed250','Col':3,'Row':35,'ColDynamic':3,'RowDynamic':25,'Format':'numberic','Value':'','TargetCode':''}</v>
      </c>
    </row>
    <row r="214" ht="12.75">
      <c r="A214" t="str">
        <f>CONCATENATE("{'SheetId':'9e57442d-faa2-4732-bfe8-6082c7f4cc3b'",",","'UId':'1553eca9-03d8-4552-8ef0-e6d8e0d3318c'",",'Col':",COLUMN(BCKetQuaHoatDong_06028!D35),",'Row':",ROW(BCKetQuaHoatDong_06028!D35),",","'ColDynamic':",COLUMN(BCKetQuaHoatDong_06028!D25),",","'RowDynamic':",ROW(BCKetQuaHoatDong_06028!D25),",","'Format':'numberic'",",'Value':'",SUBSTITUTE(BCKetQuaHoatDong_06028!D35,"'","\'"),"','TargetCode':''}")</f>
        <v>{'SheetId':'9e57442d-faa2-4732-bfe8-6082c7f4cc3b','UId':'1553eca9-03d8-4552-8ef0-e6d8e0d3318c','Col':4,'Row':35,'ColDynamic':4,'RowDynamic':25,'Format':'numberic','Value':'','TargetCode':''}</v>
      </c>
    </row>
    <row r="215" ht="12.75">
      <c r="A215" t="str">
        <f>CONCATENATE("{'SheetId':'9e57442d-faa2-4732-bfe8-6082c7f4cc3b'",",","'UId':'17c4f79a-fc43-4be8-9d15-bb9c3616d000'",",'Col':",COLUMN(BCKetQuaHoatDong_06028!E35),",'Row':",ROW(BCKetQuaHoatDong_06028!E35),",","'ColDynamic':",COLUMN(BCKetQuaHoatDong_06028!E25),",","'RowDynamic':",ROW(BCKetQuaHoatDong_06028!E25),",","'Format':'numberic'",",'Value':'",SUBSTITUTE(BCKetQuaHoatDong_06028!E35,"'","\'"),"','TargetCode':''}")</f>
        <v>{'SheetId':'9e57442d-faa2-4732-bfe8-6082c7f4cc3b','UId':'17c4f79a-fc43-4be8-9d15-bb9c3616d000','Col':5,'Row':35,'ColDynamic':5,'RowDynamic':25,'Format':'numberic','Value':'','TargetCode':''}</v>
      </c>
    </row>
    <row r="216" ht="12.75">
      <c r="A216" t="str">
        <f>CONCATENATE("{'SheetId':'9e57442d-faa2-4732-bfe8-6082c7f4cc3b'",",","'UId':'a89698fd-f0c3-4ca9-8d66-bdcc696fc670'",",'Col':",COLUMN(BCKetQuaHoatDong_06028!F35),",'Row':",ROW(BCKetQuaHoatDong_06028!F35),",","'ColDynamic':",COLUMN(BCKetQuaHoatDong_06028!F25),",","'RowDynamic':",ROW(BCKetQuaHoatDong_06028!F25),",","'Format':'numberic'",",'Value':'",SUBSTITUTE(BCKetQuaHoatDong_06028!F35,"'","\'"),"','TargetCode':''}")</f>
        <v>{'SheetId':'9e57442d-faa2-4732-bfe8-6082c7f4cc3b','UId':'a89698fd-f0c3-4ca9-8d66-bdcc696fc670','Col':6,'Row':35,'ColDynamic':6,'RowDynamic':25,'Format':'numberic','Value':'','TargetCode':''}</v>
      </c>
    </row>
    <row r="217" ht="12.75">
      <c r="A217" t="str">
        <f>CONCATENATE("{'SheetId':'9e57442d-faa2-4732-bfe8-6082c7f4cc3b'",",","'UId':'22eae942-46a3-4663-8bad-854ee399b27a'",",'Col':",COLUMN(BCKetQuaHoatDong_06028!D36),",'Row':",ROW(BCKetQuaHoatDong_06028!D36),",","'Format':'numberic'",",'Value':'",SUBSTITUTE(BCKetQuaHoatDong_06028!D36,"'","\'"),"','TargetCode':''}")</f>
        <v>{'SheetId':'9e57442d-faa2-4732-bfe8-6082c7f4cc3b','UId':'22eae942-46a3-4663-8bad-854ee399b27a','Col':4,'Row':36,'Format':'numberic','Value':'2227720','TargetCode':''}</v>
      </c>
    </row>
    <row r="218" ht="12.75">
      <c r="A218" t="str">
        <f>CONCATENATE("{'SheetId':'9e57442d-faa2-4732-bfe8-6082c7f4cc3b'",",","'UId':'e86bd792-47df-41d4-b178-07deae52a1d3'",",'Col':",COLUMN(BCKetQuaHoatDong_06028!E36),",'Row':",ROW(BCKetQuaHoatDong_06028!E36),",","'Format':'numberic'",",'Value':'",SUBSTITUTE(BCKetQuaHoatDong_06028!E36,"'","\'"),"','TargetCode':''}")</f>
        <v>{'SheetId':'9e57442d-faa2-4732-bfe8-6082c7f4cc3b','UId':'e86bd792-47df-41d4-b178-07deae52a1d3','Col':5,'Row':36,'Format':'numberic','Value':'','TargetCode':''}</v>
      </c>
    </row>
    <row r="219" ht="12.75">
      <c r="A219" t="str">
        <f>CONCATENATE("{'SheetId':'9e57442d-faa2-4732-bfe8-6082c7f4cc3b'",",","'UId':'38ae0936-1d1f-43c1-92bd-8403ec08cfeb'",",'Col':",COLUMN(BCKetQuaHoatDong_06028!F36),",'Row':",ROW(BCKetQuaHoatDong_06028!F36),",","'Format':'numberic'",",'Value':'",SUBSTITUTE(BCKetQuaHoatDong_06028!F36,"'","\'"),"','TargetCode':''}")</f>
        <v>{'SheetId':'9e57442d-faa2-4732-bfe8-6082c7f4cc3b','UId':'38ae0936-1d1f-43c1-92bd-8403ec08cfeb','Col':6,'Row':36,'Format':'numberic','Value':'2227720','TargetCode':''}</v>
      </c>
    </row>
    <row r="220" ht="12.75">
      <c r="A220" t="str">
        <f>CONCATENATE("{'SheetId':'9e57442d-faa2-4732-bfe8-6082c7f4cc3b'",",","'UId':'ecb4026f-1a26-45ab-9660-b78f43ce41ce'",",'Col':",COLUMN(BCKetQuaHoatDong_06028!A40),",'Row':",ROW(BCKetQuaHoatDong_06028!A40),",","'ColDynamic':",COLUMN(BCKetQuaHoatDong_06028!A28),",","'RowDynamic':",ROW(BCKetQuaHoatDong_06028!A28),",","'Format':'numberic'",",'Value':'",SUBSTITUTE(BCKetQuaHoatDong_06028!A40,"'","\'"),"','TargetCode':''}")</f>
        <v>{'SheetId':'9e57442d-faa2-4732-bfe8-6082c7f4cc3b','UId':'ecb4026f-1a26-45ab-9660-b78f43ce41ce','Col':1,'Row':40,'ColDynamic':1,'RowDynamic':28,'Format':'numberic','Value':'','TargetCode':''}</v>
      </c>
    </row>
    <row r="221" ht="12.75">
      <c r="A221" t="str">
        <f>CONCATENATE("{'SheetId':'9e57442d-faa2-4732-bfe8-6082c7f4cc3b'",",","'UId':'91eaa931-c442-4276-b12a-9dda3acbc478'",",'Col':",COLUMN(BCKetQuaHoatDong_06028!B40),",'Row':",ROW(BCKetQuaHoatDong_06028!B40),",","'ColDynamic':",COLUMN(BCKetQuaHoatDong_06028!B28),",","'RowDynamic':",ROW(BCKetQuaHoatDong_06028!B28),",","'Format':'string'",",'Value':'",SUBSTITUTE(BCKetQuaHoatDong_06028!B40,"'","\'"),"','TargetCode':''}")</f>
        <v>{'SheetId':'9e57442d-faa2-4732-bfe8-6082c7f4cc3b','UId':'91eaa931-c442-4276-b12a-9dda3acbc478','Col':2,'Row':40,'ColDynamic':2,'RowDynamic':28,'Format':'string','Value':'','TargetCode':''}</v>
      </c>
    </row>
    <row r="222" ht="12.75">
      <c r="A222" t="str">
        <f>CONCATENATE("{'SheetId':'9e57442d-faa2-4732-bfe8-6082c7f4cc3b'",",","'UId':'f9950487-005d-4640-aa21-0cc2a775f31c'",",'Col':",COLUMN(BCKetQuaHoatDong_06028!C40),",'Row':",ROW(BCKetQuaHoatDong_06028!C40),",","'ColDynamic':",COLUMN(BCKetQuaHoatDong_06028!C28),",","'RowDynamic':",ROW(BCKetQuaHoatDong_06028!C28),",","'Format':'numberic'",",'Value':'",SUBSTITUTE(BCKetQuaHoatDong_06028!C40,"'","\'"),"','TargetCode':''}")</f>
        <v>{'SheetId':'9e57442d-faa2-4732-bfe8-6082c7f4cc3b','UId':'f9950487-005d-4640-aa21-0cc2a775f31c','Col':3,'Row':40,'ColDynamic':3,'RowDynamic':28,'Format':'numberic','Value':'','TargetCode':''}</v>
      </c>
    </row>
    <row r="223" ht="12.75">
      <c r="A223" t="str">
        <f>CONCATENATE("{'SheetId':'9e57442d-faa2-4732-bfe8-6082c7f4cc3b'",",","'UId':'bfe9ffac-8ec1-40e3-88fa-42f3638e20c8'",",'Col':",COLUMN(BCKetQuaHoatDong_06028!D40),",'Row':",ROW(BCKetQuaHoatDong_06028!D40),",","'ColDynamic':",COLUMN(BCKetQuaHoatDong_06028!D28),",","'RowDynamic':",ROW(BCKetQuaHoatDong_06028!D28),",","'Format':'numberic'",",'Value':'",SUBSTITUTE(BCKetQuaHoatDong_06028!D40,"'","\'"),"','TargetCode':''}")</f>
        <v>{'SheetId':'9e57442d-faa2-4732-bfe8-6082c7f4cc3b','UId':'bfe9ffac-8ec1-40e3-88fa-42f3638e20c8','Col':4,'Row':40,'ColDynamic':4,'RowDynamic':28,'Format':'numberic','Value':'','TargetCode':''}</v>
      </c>
    </row>
    <row r="224" ht="12.75">
      <c r="A224" t="str">
        <f>CONCATENATE("{'SheetId':'9e57442d-faa2-4732-bfe8-6082c7f4cc3b'",",","'UId':'11038476-613e-43a0-89c3-f961b68ecf32'",",'Col':",COLUMN(BCKetQuaHoatDong_06028!E40),",'Row':",ROW(BCKetQuaHoatDong_06028!E40),",","'ColDynamic':",COLUMN(BCKetQuaHoatDong_06028!E28),",","'RowDynamic':",ROW(BCKetQuaHoatDong_06028!E28),",","'Format':'numberic'",",'Value':'",SUBSTITUTE(BCKetQuaHoatDong_06028!E40,"'","\'"),"','TargetCode':''}")</f>
        <v>{'SheetId':'9e57442d-faa2-4732-bfe8-6082c7f4cc3b','UId':'11038476-613e-43a0-89c3-f961b68ecf32','Col':5,'Row':40,'ColDynamic':5,'RowDynamic':28,'Format':'numberic','Value':'','TargetCode':''}</v>
      </c>
    </row>
    <row r="225" ht="12.75">
      <c r="A225" t="str">
        <f>CONCATENATE("{'SheetId':'9e57442d-faa2-4732-bfe8-6082c7f4cc3b'",",","'UId':'be7b669c-6e76-4b2f-a0fb-92dcbf45e626'",",'Col':",COLUMN(BCKetQuaHoatDong_06028!F40),",'Row':",ROW(BCKetQuaHoatDong_06028!F40),",","'ColDynamic':",COLUMN(BCKetQuaHoatDong_06028!F28),",","'RowDynamic':",ROW(BCKetQuaHoatDong_06028!F28),",","'Format':'numberic'",",'Value':'",SUBSTITUTE(BCKetQuaHoatDong_06028!F40,"'","\'"),"','TargetCode':''}")</f>
        <v>{'SheetId':'9e57442d-faa2-4732-bfe8-6082c7f4cc3b','UId':'be7b669c-6e76-4b2f-a0fb-92dcbf45e626','Col':6,'Row':40,'ColDynamic':6,'RowDynamic':28,'Format':'numberic','Value':'','TargetCode':''}</v>
      </c>
    </row>
    <row r="226" ht="12.75">
      <c r="A226" t="str">
        <f>CONCATENATE("{'SheetId':'9e57442d-faa2-4732-bfe8-6082c7f4cc3b'",",","'UId':'a2f958ce-55fd-4741-a0a1-bdcf0dd1c8ec'",",'Col':",COLUMN(BCKetQuaHoatDong_06028!D41),",'Row':",ROW(BCKetQuaHoatDong_06028!D41),",","'Format':'numberic'",",'Value':'",SUBSTITUTE(BCKetQuaHoatDong_06028!D41,"'","\'"),"','TargetCode':''}")</f>
        <v>{'SheetId':'9e57442d-faa2-4732-bfe8-6082c7f4cc3b','UId':'a2f958ce-55fd-4741-a0a1-bdcf0dd1c8ec','Col':4,'Row':41,'Format':'numberic','Value':'473712','TargetCode':''}</v>
      </c>
    </row>
    <row r="227" ht="12.75">
      <c r="A227" t="str">
        <f>CONCATENATE("{'SheetId':'9e57442d-faa2-4732-bfe8-6082c7f4cc3b'",",","'UId':'393bdfde-2176-402e-9b16-331c74ac5995'",",'Col':",COLUMN(BCKetQuaHoatDong_06028!E41),",'Row':",ROW(BCKetQuaHoatDong_06028!E41),",","'Format':'numberic'",",'Value':'",SUBSTITUTE(BCKetQuaHoatDong_06028!E41,"'","\'"),"','TargetCode':''}")</f>
        <v>{'SheetId':'9e57442d-faa2-4732-bfe8-6082c7f4cc3b','UId':'393bdfde-2176-402e-9b16-331c74ac5995','Col':5,'Row':41,'Format':'numberic','Value':'212145','TargetCode':''}</v>
      </c>
    </row>
    <row r="228" ht="12.75">
      <c r="A228" t="str">
        <f>CONCATENATE("{'SheetId':'9e57442d-faa2-4732-bfe8-6082c7f4cc3b'",",","'UId':'61a21fd4-9c85-4c00-b1f5-a006461b16c9'",",'Col':",COLUMN(BCKetQuaHoatDong_06028!F41),",'Row':",ROW(BCKetQuaHoatDong_06028!F41),",","'Format':'numberic'",",'Value':'",SUBSTITUTE(BCKetQuaHoatDong_06028!F41,"'","\'"),"','TargetCode':''}")</f>
        <v>{'SheetId':'9e57442d-faa2-4732-bfe8-6082c7f4cc3b','UId':'61a21fd4-9c85-4c00-b1f5-a006461b16c9','Col':6,'Row':41,'Format':'numberic','Value':'473712','TargetCode':''}</v>
      </c>
    </row>
    <row r="229" ht="12.75">
      <c r="A229" t="str">
        <f>CONCATENATE("{'SheetId':'9e57442d-faa2-4732-bfe8-6082c7f4cc3b'",",","'UId':'b0668875-2953-4f6b-9456-7589822bd4fe'",",'Col':",COLUMN(BCKetQuaHoatDong_06028!A45),",'Row':",ROW(BCKetQuaHoatDong_06028!A45),",","'ColDynamic':",COLUMN(BCKetQuaHoatDong_06028!A15),",","'RowDynamic':",ROW(BCKetQuaHoatDong_06028!A15),",","'Format':'numberic'",",'Value':'",SUBSTITUTE(BCKetQuaHoatDong_06028!A45,"'","\'"),"','TargetCode':''}")</f>
        <v>{'SheetId':'9e57442d-faa2-4732-bfe8-6082c7f4cc3b','UId':'b0668875-2953-4f6b-9456-7589822bd4fe','Col':1,'Row':45,'ColDynamic':1,'RowDynamic':15,'Format':'numberic','Value':'','TargetCode':''}</v>
      </c>
    </row>
    <row r="230" ht="12.75">
      <c r="A230" t="str">
        <f>CONCATENATE("{'SheetId':'9e57442d-faa2-4732-bfe8-6082c7f4cc3b'",",","'UId':'61456a65-5569-4084-b598-c739d0fdc8a5'",",'Col':",COLUMN(BCKetQuaHoatDong_06028!B45),",'Row':",ROW(BCKetQuaHoatDong_06028!B45),",","'ColDynamic':",COLUMN(BCKetQuaHoatDong_06028!B15),",","'RowDynamic':",ROW(BCKetQuaHoatDong_06028!B15),",","'Format':'string'",",'Value':'",SUBSTITUTE(BCKetQuaHoatDong_06028!B45,"'","\'"),"','TargetCode':''}")</f>
        <v>{'SheetId':'9e57442d-faa2-4732-bfe8-6082c7f4cc3b','UId':'61456a65-5569-4084-b598-c739d0fdc8a5','Col':2,'Row':45,'ColDynamic':2,'RowDynamic':15,'Format':'string','Value':'','TargetCode':''}</v>
      </c>
    </row>
    <row r="231" ht="12.75">
      <c r="A231" t="str">
        <f>CONCATENATE("{'SheetId':'9e57442d-faa2-4732-bfe8-6082c7f4cc3b'",",","'UId':'6c51844e-8fc8-4ebd-89c8-c19634d8f6d9'",",'Col':",COLUMN(BCKetQuaHoatDong_06028!C45),",'Row':",ROW(BCKetQuaHoatDong_06028!C45),",","'ColDynamic':",COLUMN(BCKetQuaHoatDong_06028!C15),",","'RowDynamic':",ROW(BCKetQuaHoatDong_06028!C15),",","'Format':'numberic'",",'Value':'",SUBSTITUTE(BCKetQuaHoatDong_06028!C45,"'","\'"),"','TargetCode':''}")</f>
        <v>{'SheetId':'9e57442d-faa2-4732-bfe8-6082c7f4cc3b','UId':'6c51844e-8fc8-4ebd-89c8-c19634d8f6d9','Col':3,'Row':45,'ColDynamic':3,'RowDynamic':15,'Format':'numberic','Value':'','TargetCode':''}</v>
      </c>
    </row>
    <row r="232" ht="12.75">
      <c r="A232" t="str">
        <f>CONCATENATE("{'SheetId':'9e57442d-faa2-4732-bfe8-6082c7f4cc3b'",",","'UId':'0e840f2a-55e8-472f-90c2-7a2142459c27'",",'Col':",COLUMN(BCKetQuaHoatDong_06028!D45),",'Row':",ROW(BCKetQuaHoatDong_06028!D45),",","'ColDynamic':",COLUMN(BCKetQuaHoatDong_06028!D15),",","'RowDynamic':",ROW(BCKetQuaHoatDong_06028!D15),",","'Format':'numberic'",",'Value':'",SUBSTITUTE(BCKetQuaHoatDong_06028!D45,"'","\'"),"','TargetCode':''}")</f>
        <v>{'SheetId':'9e57442d-faa2-4732-bfe8-6082c7f4cc3b','UId':'0e840f2a-55e8-472f-90c2-7a2142459c27','Col':4,'Row':45,'ColDynamic':4,'RowDynamic':15,'Format':'numberic','Value':'','TargetCode':''}</v>
      </c>
    </row>
    <row r="233" ht="12.75">
      <c r="A233" t="str">
        <f>CONCATENATE("{'SheetId':'9e57442d-faa2-4732-bfe8-6082c7f4cc3b'",",","'UId':'102a2de3-8caa-495e-9317-436f7a11d50b'",",'Col':",COLUMN(BCKetQuaHoatDong_06028!E45),",'Row':",ROW(BCKetQuaHoatDong_06028!E45),",","'ColDynamic':",COLUMN(BCKetQuaHoatDong_06028!E15),",","'RowDynamic':",ROW(BCKetQuaHoatDong_06028!E15),",","'Format':'numberic'",",'Value':'",SUBSTITUTE(BCKetQuaHoatDong_06028!E45,"'","\'"),"','TargetCode':''}")</f>
        <v>{'SheetId':'9e57442d-faa2-4732-bfe8-6082c7f4cc3b','UId':'102a2de3-8caa-495e-9317-436f7a11d50b','Col':5,'Row':45,'ColDynamic':5,'RowDynamic':15,'Format':'numberic','Value':'','TargetCode':''}</v>
      </c>
    </row>
    <row r="234" ht="12.75">
      <c r="A234" t="str">
        <f>CONCATENATE("{'SheetId':'9e57442d-faa2-4732-bfe8-6082c7f4cc3b'",",","'UId':'35f3ea0a-83d0-4be4-b861-05d6ff252f97'",",'Col':",COLUMN(BCKetQuaHoatDong_06028!F45),",'Row':",ROW(BCKetQuaHoatDong_06028!F45),",","'ColDynamic':",COLUMN(BCKetQuaHoatDong_06028!F15),",","'RowDynamic':",ROW(BCKetQuaHoatDong_06028!F15),",","'Format':'numberic'",",'Value':'",SUBSTITUTE(BCKetQuaHoatDong_06028!F45,"'","\'"),"','TargetCode':''}")</f>
        <v>{'SheetId':'9e57442d-faa2-4732-bfe8-6082c7f4cc3b','UId':'35f3ea0a-83d0-4be4-b861-05d6ff252f97','Col':6,'Row':45,'ColDynamic':6,'RowDynamic':15,'Format':'numberic','Value':'','TargetCode':''}</v>
      </c>
    </row>
    <row r="235" ht="12.75">
      <c r="A235" t="str">
        <f>CONCATENATE("{'SheetId':'9e57442d-faa2-4732-bfe8-6082c7f4cc3b'",",","'UId':'c95f90f6-640a-4331-b0e8-54422c753940'",",'Col':",COLUMN(BCKetQuaHoatDong_06028!D46),",'Row':",ROW(BCKetQuaHoatDong_06028!D46),",","'Format':'numberic'",",'Value':'",SUBSTITUTE(BCKetQuaHoatDong_06028!D46,"'","\'"),"','TargetCode':''}")</f>
        <v>{'SheetId':'9e57442d-faa2-4732-bfe8-6082c7f4cc3b','UId':'c95f90f6-640a-4331-b0e8-54422c753940','Col':4,'Row':46,'Format':'numberic','Value':'877350171','TargetCode':''}</v>
      </c>
    </row>
    <row r="236" ht="12.75">
      <c r="A236" t="str">
        <f>CONCATENATE("{'SheetId':'9e57442d-faa2-4732-bfe8-6082c7f4cc3b'",",","'UId':'19caeda8-1e5a-4518-8250-4c15acb82c48'",",'Col':",COLUMN(BCKetQuaHoatDong_06028!E46),",'Row':",ROW(BCKetQuaHoatDong_06028!E46),",","'Format':'numberic'",",'Value':'",SUBSTITUTE(BCKetQuaHoatDong_06028!E46,"'","\'"),"','TargetCode':''}")</f>
        <v>{'SheetId':'9e57442d-faa2-4732-bfe8-6082c7f4cc3b','UId':'19caeda8-1e5a-4518-8250-4c15acb82c48','Col':5,'Row':46,'Format':'numberic','Value':'857769492','TargetCode':''}</v>
      </c>
    </row>
    <row r="237" ht="12.75">
      <c r="A237" t="str">
        <f>CONCATENATE("{'SheetId':'9e57442d-faa2-4732-bfe8-6082c7f4cc3b'",",","'UId':'d743182c-5853-46f3-8604-ad3aa58840b8'",",'Col':",COLUMN(BCKetQuaHoatDong_06028!F46),",'Row':",ROW(BCKetQuaHoatDong_06028!F46),",","'Format':'numberic'",",'Value':'",SUBSTITUTE(BCKetQuaHoatDong_06028!F46,"'","\'"),"','TargetCode':''}")</f>
        <v>{'SheetId':'9e57442d-faa2-4732-bfe8-6082c7f4cc3b','UId':'d743182c-5853-46f3-8604-ad3aa58840b8','Col':6,'Row':46,'Format':'numberic','Value':'877350171','TargetCode':''}</v>
      </c>
    </row>
    <row r="238" ht="12.75">
      <c r="A238" t="str">
        <f>CONCATENATE("{'SheetId':'9e57442d-faa2-4732-bfe8-6082c7f4cc3b'",",","'UId':'5fb4cc84-0a90-4cae-ba19-392c839af798'",",'Col':",COLUMN(BCKetQuaHoatDong_06028!D47),",'Row':",ROW(BCKetQuaHoatDong_06028!D47),",","'Format':'numberic'",",'Value':'",SUBSTITUTE(BCKetQuaHoatDong_06028!D47,"'","\'"),"','TargetCode':''}")</f>
        <v>{'SheetId':'9e57442d-faa2-4732-bfe8-6082c7f4cc3b','UId':'5fb4cc84-0a90-4cae-ba19-392c839af798','Col':4,'Row':47,'Format':'numberic','Value':'-170617979','TargetCode':''}</v>
      </c>
    </row>
    <row r="239" ht="12.75">
      <c r="A239" t="str">
        <f>CONCATENATE("{'SheetId':'9e57442d-faa2-4732-bfe8-6082c7f4cc3b'",",","'UId':'c14dbefc-c01b-44b0-a577-6f17c0396290'",",'Col':",COLUMN(BCKetQuaHoatDong_06028!E47),",'Row':",ROW(BCKetQuaHoatDong_06028!E47),",","'Format':'numberic'",",'Value':'",SUBSTITUTE(BCKetQuaHoatDong_06028!E47,"'","\'"),"','TargetCode':''}")</f>
        <v>{'SheetId':'9e57442d-faa2-4732-bfe8-6082c7f4cc3b','UId':'c14dbefc-c01b-44b0-a577-6f17c0396290','Col':5,'Row':47,'Format':'numberic','Value':'-171923177','TargetCode':''}</v>
      </c>
    </row>
    <row r="240" ht="12.75">
      <c r="A240" t="str">
        <f>CONCATENATE("{'SheetId':'9e57442d-faa2-4732-bfe8-6082c7f4cc3b'",",","'UId':'d1eb0ab7-7a60-49c8-b8aa-39c894436edb'",",'Col':",COLUMN(BCKetQuaHoatDong_06028!F47),",'Row':",ROW(BCKetQuaHoatDong_06028!F47),",","'Format':'numberic'",",'Value':'",SUBSTITUTE(BCKetQuaHoatDong_06028!F47,"'","\'"),"','TargetCode':''}")</f>
        <v>{'SheetId':'9e57442d-faa2-4732-bfe8-6082c7f4cc3b','UId':'d1eb0ab7-7a60-49c8-b8aa-39c894436edb','Col':6,'Row':47,'Format':'numberic','Value':'-170617979','TargetCode':''}</v>
      </c>
    </row>
    <row r="241" ht="12.75">
      <c r="A241" t="str">
        <f>CONCATENATE("{'SheetId':'9e57442d-faa2-4732-bfe8-6082c7f4cc3b'",",","'UId':'7dc5398f-c841-400c-850b-875a5c468e05'",",'Col':",COLUMN(BCKetQuaHoatDong_06028!D48),",'Row':",ROW(BCKetQuaHoatDong_06028!D48),",","'Format':'numberic'",",'Value':'",SUBSTITUTE(BCKetQuaHoatDong_06028!D48,"'","\'"),"','TargetCode':''}")</f>
        <v>{'SheetId':'9e57442d-faa2-4732-bfe8-6082c7f4cc3b','UId':'7dc5398f-c841-400c-850b-875a5c468e05','Col':4,'Row':48,'Format':'numberic','Value':'106848','TargetCode':''}</v>
      </c>
    </row>
    <row r="242" ht="12.75">
      <c r="A242" t="str">
        <f>CONCATENATE("{'SheetId':'9e57442d-faa2-4732-bfe8-6082c7f4cc3b'",",","'UId':'fa4fb11d-bd81-48b0-9ef6-a4ff2cd9d48a'",",'Col':",COLUMN(BCKetQuaHoatDong_06028!E48),",'Row':",ROW(BCKetQuaHoatDong_06028!E48),",","'Format':'numberic'",",'Value':'",SUBSTITUTE(BCKetQuaHoatDong_06028!E48,"'","\'"),"','TargetCode':''}")</f>
        <v>{'SheetId':'9e57442d-faa2-4732-bfe8-6082c7f4cc3b','UId':'fa4fb11d-bd81-48b0-9ef6-a4ff2cd9d48a','Col':5,'Row':48,'Format':'numberic','Value':'-2565616','TargetCode':''}</v>
      </c>
    </row>
    <row r="243" ht="12.75">
      <c r="A243" t="str">
        <f>CONCATENATE("{'SheetId':'9e57442d-faa2-4732-bfe8-6082c7f4cc3b'",",","'UId':'73bb9d14-e1ea-4394-a083-b8a649641cf9'",",'Col':",COLUMN(BCKetQuaHoatDong_06028!F48),",'Row':",ROW(BCKetQuaHoatDong_06028!F48),",","'Format':'numberic'",",'Value':'",SUBSTITUTE(BCKetQuaHoatDong_06028!F48,"'","\'"),"','TargetCode':''}")</f>
        <v>{'SheetId':'9e57442d-faa2-4732-bfe8-6082c7f4cc3b','UId':'73bb9d14-e1ea-4394-a083-b8a649641cf9','Col':6,'Row':48,'Format':'numberic','Value':'106848','TargetCode':''}</v>
      </c>
    </row>
    <row r="244" ht="12.75">
      <c r="A244" t="str">
        <f>CONCATENATE("{'SheetId':'9e57442d-faa2-4732-bfe8-6082c7f4cc3b'",",","'UId':'bab2e1a7-20d5-41fd-881b-9a21514bfc4f'",",'Col':",COLUMN(BCKetQuaHoatDong_06028!D49),",'Row':",ROW(BCKetQuaHoatDong_06028!D49),",","'Format':'numberic'",",'Value':'",SUBSTITUTE(BCKetQuaHoatDong_06028!D49,"'","\'"),"','TargetCode':''}")</f>
        <v>{'SheetId':'9e57442d-faa2-4732-bfe8-6082c7f4cc3b','UId':'bab2e1a7-20d5-41fd-881b-9a21514bfc4f','Col':4,'Row':49,'Format':'numberic','Value':'-170724827','TargetCode':''}</v>
      </c>
    </row>
    <row r="245" ht="12.75">
      <c r="A245" t="str">
        <f>CONCATENATE("{'SheetId':'9e57442d-faa2-4732-bfe8-6082c7f4cc3b'",",","'UId':'128100c2-b671-4904-a5a9-41069ed12784'",",'Col':",COLUMN(BCKetQuaHoatDong_06028!E49),",'Row':",ROW(BCKetQuaHoatDong_06028!E49),",","'Format':'numberic'",",'Value':'",SUBSTITUTE(BCKetQuaHoatDong_06028!E49,"'","\'"),"','TargetCode':''}")</f>
        <v>{'SheetId':'9e57442d-faa2-4732-bfe8-6082c7f4cc3b','UId':'128100c2-b671-4904-a5a9-41069ed12784','Col':5,'Row':49,'Format':'numberic','Value':'-169357561','TargetCode':''}</v>
      </c>
    </row>
    <row r="246" ht="12.75">
      <c r="A246" t="str">
        <f>CONCATENATE("{'SheetId':'9e57442d-faa2-4732-bfe8-6082c7f4cc3b'",",","'UId':'04b06e65-b2eb-4858-bb0b-d72c0270f1f6'",",'Col':",COLUMN(BCKetQuaHoatDong_06028!F49),",'Row':",ROW(BCKetQuaHoatDong_06028!F49),",","'Format':'numberic'",",'Value':'",SUBSTITUTE(BCKetQuaHoatDong_06028!F49,"'","\'"),"','TargetCode':''}")</f>
        <v>{'SheetId':'9e57442d-faa2-4732-bfe8-6082c7f4cc3b','UId':'04b06e65-b2eb-4858-bb0b-d72c0270f1f6','Col':6,'Row':49,'Format':'numberic','Value':'-170724827','TargetCode':''}</v>
      </c>
    </row>
    <row r="247" ht="12.75">
      <c r="A247" t="str">
        <f>CONCATENATE("{'SheetId':'9e57442d-faa2-4732-bfe8-6082c7f4cc3b'",",","'UId':'0c34f541-ad2d-4bff-9fce-284295e89335'",",'Col':",COLUMN(BCKetQuaHoatDong_06028!D50),",'Row':",ROW(BCKetQuaHoatDong_06028!D50),",","'Format':'numberic'",",'Value':'",SUBSTITUTE(BCKetQuaHoatDong_06028!D50,"'","\'"),"','TargetCode':''}")</f>
        <v>{'SheetId':'9e57442d-faa2-4732-bfe8-6082c7f4cc3b','UId':'0c34f541-ad2d-4bff-9fce-284295e89335','Col':4,'Row':50,'Format':'numberic','Value':'706732192','TargetCode':''}</v>
      </c>
    </row>
    <row r="248" ht="12.75">
      <c r="A248" t="str">
        <f>CONCATENATE("{'SheetId':'9e57442d-faa2-4732-bfe8-6082c7f4cc3b'",",","'UId':'a1069390-e9a5-41a9-8d0c-f5931f68451d'",",'Col':",COLUMN(BCKetQuaHoatDong_06028!E50),",'Row':",ROW(BCKetQuaHoatDong_06028!E50),",","'Format':'numberic'",",'Value':'",SUBSTITUTE(BCKetQuaHoatDong_06028!E50,"'","\'"),"','TargetCode':''}")</f>
        <v>{'SheetId':'9e57442d-faa2-4732-bfe8-6082c7f4cc3b','UId':'a1069390-e9a5-41a9-8d0c-f5931f68451d','Col':5,'Row':50,'Format':'numberic','Value':'685846315','TargetCode':''}</v>
      </c>
    </row>
    <row r="249" ht="12.75">
      <c r="A249" t="str">
        <f>CONCATENATE("{'SheetId':'9e57442d-faa2-4732-bfe8-6082c7f4cc3b'",",","'UId':'943a903f-8f0c-48d3-9a7d-d0f797c51f06'",",'Col':",COLUMN(BCKetQuaHoatDong_06028!F50),",'Row':",ROW(BCKetQuaHoatDong_06028!F50),",","'Format':'numberic'",",'Value':'",SUBSTITUTE(BCKetQuaHoatDong_06028!F50,"'","\'"),"','TargetCode':''}")</f>
        <v>{'SheetId':'9e57442d-faa2-4732-bfe8-6082c7f4cc3b','UId':'943a903f-8f0c-48d3-9a7d-d0f797c51f06','Col':6,'Row':50,'Format':'numberic','Value':'706732192','TargetCode':''}</v>
      </c>
    </row>
    <row r="250" ht="12.75">
      <c r="A250" t="str">
        <f>CONCATENATE("{'SheetId':'9e57442d-faa2-4732-bfe8-6082c7f4cc3b'",",","'UId':'14ba2d4e-fc98-469f-8702-009a93d663bf'",",'Col':",COLUMN(BCKetQuaHoatDong_06028!D51),",'Row':",ROW(BCKetQuaHoatDong_06028!D51),",","'Format':'numberic'",",'Value':'",SUBSTITUTE(BCKetQuaHoatDong_06028!D51,"'","\'"),"','TargetCode':''}")</f>
        <v>{'SheetId':'9e57442d-faa2-4732-bfe8-6082c7f4cc3b','UId':'14ba2d4e-fc98-469f-8702-009a93d663bf','Col':4,'Row':51,'Format':'numberic','Value':'154552545740','TargetCode':''}</v>
      </c>
    </row>
    <row r="251" ht="12.75">
      <c r="A251" t="str">
        <f>CONCATENATE("{'SheetId':'9e57442d-faa2-4732-bfe8-6082c7f4cc3b'",",","'UId':'46dc8404-c63b-42c5-af20-35a421a3b5ab'",",'Col':",COLUMN(BCKetQuaHoatDong_06028!E51),",'Row':",ROW(BCKetQuaHoatDong_06028!E51),",","'Format':'numberic'",",'Value':'",SUBSTITUTE(BCKetQuaHoatDong_06028!E51,"'","\'"),"','TargetCode':''}")</f>
        <v>{'SheetId':'9e57442d-faa2-4732-bfe8-6082c7f4cc3b','UId':'46dc8404-c63b-42c5-af20-35a421a3b5ab','Col':5,'Row':51,'Format':'numberic','Value':'152375164353','TargetCode':''}</v>
      </c>
    </row>
    <row r="252" ht="12.75">
      <c r="A252" t="str">
        <f>CONCATENATE("{'SheetId':'9e57442d-faa2-4732-bfe8-6082c7f4cc3b'",",","'UId':'a1137c7a-72fe-4907-952f-0a4daf353a5c'",",'Col':",COLUMN(BCKetQuaHoatDong_06028!F51),",'Row':",ROW(BCKetQuaHoatDong_06028!F51),",","'Format':'numberic'",",'Value':'",SUBSTITUTE(BCKetQuaHoatDong_06028!F51,"'","\'"),"','TargetCode':''}")</f>
        <v>{'SheetId':'9e57442d-faa2-4732-bfe8-6082c7f4cc3b','UId':'a1137c7a-72fe-4907-952f-0a4daf353a5c','Col':6,'Row':51,'Format':'numberic','Value':'154552545740','TargetCode':''}</v>
      </c>
    </row>
    <row r="253" ht="12.75">
      <c r="A253" t="str">
        <f>CONCATENATE("{'SheetId':'9e57442d-faa2-4732-bfe8-6082c7f4cc3b'",",","'UId':'ae182ae4-ecb8-4b3e-87b1-02fe2b8c8c6e'",",'Col':",COLUMN(BCKetQuaHoatDong_06028!D52),",'Row':",ROW(BCKetQuaHoatDong_06028!D52),",","'Format':'numberic'",",'Value':'",SUBSTITUTE(BCKetQuaHoatDong_06028!D52,"'","\'"),"','TargetCode':''}")</f>
        <v>{'SheetId':'9e57442d-faa2-4732-bfe8-6082c7f4cc3b','UId':'ae182ae4-ecb8-4b3e-87b1-02fe2b8c8c6e','Col':4,'Row':52,'Format':'numberic','Value':'1123057939','TargetCode':''}</v>
      </c>
    </row>
    <row r="254" ht="12.75">
      <c r="A254" t="str">
        <f>CONCATENATE("{'SheetId':'9e57442d-faa2-4732-bfe8-6082c7f4cc3b'",",","'UId':'c7c70708-3a08-4a71-8b5b-958036d28d83'",",'Col':",COLUMN(BCKetQuaHoatDong_06028!E52),",'Row':",ROW(BCKetQuaHoatDong_06028!E52),",","'Format':'numberic'",",'Value':'",SUBSTITUTE(BCKetQuaHoatDong_06028!E52,"'","\'"),"','TargetCode':''}")</f>
        <v>{'SheetId':'9e57442d-faa2-4732-bfe8-6082c7f4cc3b','UId':'c7c70708-3a08-4a71-8b5b-958036d28d83','Col':5,'Row':52,'Format':'numberic','Value':'2177381387','TargetCode':''}</v>
      </c>
    </row>
    <row r="255" ht="12.75">
      <c r="A255" t="str">
        <f>CONCATENATE("{'SheetId':'9e57442d-faa2-4732-bfe8-6082c7f4cc3b'",",","'UId':'b56d1f06-ac4a-4581-bd76-0a7116bb9601'",",'Col':",COLUMN(BCKetQuaHoatDong_06028!F52),",'Row':",ROW(BCKetQuaHoatDong_06028!F52),",","'Format':'numberic'",",'Value':'",SUBSTITUTE(BCKetQuaHoatDong_06028!F52,"'","\'"),"','TargetCode':''}")</f>
        <v>{'SheetId':'9e57442d-faa2-4732-bfe8-6082c7f4cc3b','UId':'b56d1f06-ac4a-4581-bd76-0a7116bb9601','Col':6,'Row':52,'Format':'numberic','Value':'1123057939','TargetCode':''}</v>
      </c>
    </row>
    <row r="256" ht="12.75">
      <c r="A256" t="str">
        <f>CONCATENATE("{'SheetId':'9e57442d-faa2-4732-bfe8-6082c7f4cc3b'",",","'UId':'071f8b6b-411a-4479-a1e0-68ae4989d4d4'",",'Col':",COLUMN(BCKetQuaHoatDong_06028!D53),",'Row':",ROW(BCKetQuaHoatDong_06028!D53),",","'Format':'numberic'",",'Value':'",SUBSTITUTE(BCKetQuaHoatDong_06028!D53,"'","\'"),"','TargetCode':''}")</f>
        <v>{'SheetId':'9e57442d-faa2-4732-bfe8-6082c7f4cc3b','UId':'071f8b6b-411a-4479-a1e0-68ae4989d4d4','Col':4,'Row':53,'Format':'numberic','Value':'706732192','TargetCode':''}</v>
      </c>
    </row>
    <row r="257" ht="12.75">
      <c r="A257" t="str">
        <f>CONCATENATE("{'SheetId':'9e57442d-faa2-4732-bfe8-6082c7f4cc3b'",",","'UId':'649fe867-7540-4d27-809f-914ad09af55e'",",'Col':",COLUMN(BCKetQuaHoatDong_06028!E53),",'Row':",ROW(BCKetQuaHoatDong_06028!E53),",","'Format':'numberic'",",'Value':'",SUBSTITUTE(BCKetQuaHoatDong_06028!E53,"'","\'"),"','TargetCode':''}")</f>
        <v>{'SheetId':'9e57442d-faa2-4732-bfe8-6082c7f4cc3b','UId':'649fe867-7540-4d27-809f-914ad09af55e','Col':5,'Row':53,'Format':'numberic','Value':'685846315','TargetCode':''}</v>
      </c>
    </row>
    <row r="258" ht="12.75">
      <c r="A258" t="str">
        <f>CONCATENATE("{'SheetId':'9e57442d-faa2-4732-bfe8-6082c7f4cc3b'",",","'UId':'ce2f8942-9d48-4663-bc86-864ddeb2e9fb'",",'Col':",COLUMN(BCKetQuaHoatDong_06028!F53),",'Row':",ROW(BCKetQuaHoatDong_06028!F53),",","'Format':'numberic'",",'Value':'",SUBSTITUTE(BCKetQuaHoatDong_06028!F53,"'","\'"),"','TargetCode':''}")</f>
        <v>{'SheetId':'9e57442d-faa2-4732-bfe8-6082c7f4cc3b','UId':'ce2f8942-9d48-4663-bc86-864ddeb2e9fb','Col':6,'Row':53,'Format':'numberic','Value':'706732192','TargetCode':''}</v>
      </c>
    </row>
    <row r="259" ht="12.75">
      <c r="A259" t="str">
        <f>CONCATENATE("{'SheetId':'9e57442d-faa2-4732-bfe8-6082c7f4cc3b'",",","'UId':'da1428fc-0129-48bd-9cae-bcdc3527e7ff'",",'Col':",COLUMN(BCKetQuaHoatDong_06028!D54),",'Row':",ROW(BCKetQuaHoatDong_06028!D54),",","'Format':'numberic'",",'Value':'",SUBSTITUTE(BCKetQuaHoatDong_06028!D54,"'","\'"),"','TargetCode':''}")</f>
        <v>{'SheetId':'9e57442d-faa2-4732-bfe8-6082c7f4cc3b','UId':'da1428fc-0129-48bd-9cae-bcdc3527e7ff','Col':4,'Row':54,'Format':'numberic','Value':'','TargetCode':''}</v>
      </c>
    </row>
    <row r="260" ht="12.75">
      <c r="A260" t="str">
        <f>CONCATENATE("{'SheetId':'9e57442d-faa2-4732-bfe8-6082c7f4cc3b'",",","'UId':'e59bf9b3-105f-46b2-a4c4-386837875fff'",",'Col':",COLUMN(BCKetQuaHoatDong_06028!E54),",'Row':",ROW(BCKetQuaHoatDong_06028!E54),",","'Format':'numberic'",",'Value':'",SUBSTITUTE(BCKetQuaHoatDong_06028!E54,"'","\'"),"','TargetCode':''}")</f>
        <v>{'SheetId':'9e57442d-faa2-4732-bfe8-6082c7f4cc3b','UId':'e59bf9b3-105f-46b2-a4c4-386837875fff','Col':5,'Row':54,'Format':'numberic','Value':'','TargetCode':''}</v>
      </c>
    </row>
    <row r="261" ht="12.75">
      <c r="A261" t="str">
        <f>CONCATENATE("{'SheetId':'9e57442d-faa2-4732-bfe8-6082c7f4cc3b'",",","'UId':'190b7595-8f9e-458d-8990-f4ff2e021104'",",'Col':",COLUMN(BCKetQuaHoatDong_06028!F54),",'Row':",ROW(BCKetQuaHoatDong_06028!F54),",","'Format':'numberic'",",'Value':'",SUBSTITUTE(BCKetQuaHoatDong_06028!F54,"'","\'"),"','TargetCode':''}")</f>
        <v>{'SheetId':'9e57442d-faa2-4732-bfe8-6082c7f4cc3b','UId':'190b7595-8f9e-458d-8990-f4ff2e021104','Col':6,'Row':54,'Format':'numberic','Value':'','TargetCode':''}</v>
      </c>
    </row>
    <row r="262" ht="12.75">
      <c r="A262" t="str">
        <f>CONCATENATE("{'SheetId':'9e57442d-faa2-4732-bfe8-6082c7f4cc3b'",",","'UId':'26da4aec-6928-4f66-88a5-fdfd0ee643e5'",",'Col':",COLUMN(BCKetQuaHoatDong_06028!D55),",'Row':",ROW(BCKetQuaHoatDong_06028!D55),",","'Format':'numberic'",",'Value':'",SUBSTITUTE(BCKetQuaHoatDong_06028!D55,"'","\'"),"','TargetCode':''}")</f>
        <v>{'SheetId':'9e57442d-faa2-4732-bfe8-6082c7f4cc3b','UId':'26da4aec-6928-4f66-88a5-fdfd0ee643e5','Col':4,'Row':55,'Format':'numberic','Value':'416325747','TargetCode':''}</v>
      </c>
    </row>
    <row r="263" ht="12.75">
      <c r="A263" t="str">
        <f>CONCATENATE("{'SheetId':'9e57442d-faa2-4732-bfe8-6082c7f4cc3b'",",","'UId':'9b98b4cd-1dc6-4f10-9fcd-3b02154fc346'",",'Col':",COLUMN(BCKetQuaHoatDong_06028!E55),",'Row':",ROW(BCKetQuaHoatDong_06028!E55),",","'Format':'numberic'",",'Value':'",SUBSTITUTE(BCKetQuaHoatDong_06028!E55,"'","\'"),"','TargetCode':''}")</f>
        <v>{'SheetId':'9e57442d-faa2-4732-bfe8-6082c7f4cc3b','UId':'9b98b4cd-1dc6-4f10-9fcd-3b02154fc346','Col':5,'Row':55,'Format':'numberic','Value':'1491535072','TargetCode':''}</v>
      </c>
    </row>
    <row r="264" ht="12.75">
      <c r="A264" t="str">
        <f>CONCATENATE("{'SheetId':'9e57442d-faa2-4732-bfe8-6082c7f4cc3b'",",","'UId':'ab589e24-1208-4602-83e1-3b0d9a9ddac2'",",'Col':",COLUMN(BCKetQuaHoatDong_06028!F55),",'Row':",ROW(BCKetQuaHoatDong_06028!F55),",","'Format':'numberic'",",'Value':'",SUBSTITUTE(BCKetQuaHoatDong_06028!F55,"'","\'"),"','TargetCode':''}")</f>
        <v>{'SheetId':'9e57442d-faa2-4732-bfe8-6082c7f4cc3b','UId':'ab589e24-1208-4602-83e1-3b0d9a9ddac2','Col':6,'Row':55,'Format':'numberic','Value':'416325747','TargetCode':''}</v>
      </c>
    </row>
    <row r="265" ht="12.75">
      <c r="A265" t="str">
        <f>CONCATENATE("{'SheetId':'9e57442d-faa2-4732-bfe8-6082c7f4cc3b'",",","'UId':'a1e12271-7d9c-46e1-be1f-d3831e97dba6'",",'Col':",COLUMN(BCKetQuaHoatDong_06028!D56),",'Row':",ROW(BCKetQuaHoatDong_06028!D56),",","'Format':'numberic'",",'Value':'",SUBSTITUTE(BCKetQuaHoatDong_06028!D56,"'","\'"),"','TargetCode':''}")</f>
        <v>{'SheetId':'9e57442d-faa2-4732-bfe8-6082c7f4cc3b','UId':'a1e12271-7d9c-46e1-be1f-d3831e97dba6','Col':4,'Row':56,'Format':'numberic','Value':'155675603679','TargetCode':''}</v>
      </c>
    </row>
    <row r="266" ht="12.75">
      <c r="A266" t="str">
        <f>CONCATENATE("{'SheetId':'9e57442d-faa2-4732-bfe8-6082c7f4cc3b'",",","'UId':'85d94755-db4c-439e-8336-6cbb28df62be'",",'Col':",COLUMN(BCKetQuaHoatDong_06028!E56),",'Row':",ROW(BCKetQuaHoatDong_06028!E56),",","'Format':'numberic'",",'Value':'",SUBSTITUTE(BCKetQuaHoatDong_06028!E56,"'","\'"),"','TargetCode':''}")</f>
        <v>{'SheetId':'9e57442d-faa2-4732-bfe8-6082c7f4cc3b','UId':'85d94755-db4c-439e-8336-6cbb28df62be','Col':5,'Row':56,'Format':'numberic','Value':'154552545740','TargetCode':''}</v>
      </c>
    </row>
    <row r="267" ht="12.75">
      <c r="A267" t="str">
        <f>CONCATENATE("{'SheetId':'9e57442d-faa2-4732-bfe8-6082c7f4cc3b'",",","'UId':'d8a625ed-973b-4579-990b-8dd486f640c5'",",'Col':",COLUMN(BCKetQuaHoatDong_06028!F56),",'Row':",ROW(BCKetQuaHoatDong_06028!F56),",","'Format':'numberic'",",'Value':'",SUBSTITUTE(BCKetQuaHoatDong_06028!F56,"'","\'"),"','TargetCode':''}")</f>
        <v>{'SheetId':'9e57442d-faa2-4732-bfe8-6082c7f4cc3b','UId':'d8a625ed-973b-4579-990b-8dd486f640c5','Col':6,'Row':56,'Format':'numberic','Value':'155675603679','TargetCode':''}</v>
      </c>
    </row>
    <row r="268" ht="12.75">
      <c r="A268" t="str">
        <f>CONCATENATE("{'SheetId':'9e57442d-faa2-4732-bfe8-6082c7f4cc3b'",",","'UId':'913a97b8-0f0a-4141-8c25-d538ceaee879'",",'Col':",COLUMN(BCKetQuaHoatDong_06028!D57),",'Row':",ROW(BCKetQuaHoatDong_06028!D57),",","'Format':'numberic'",",'Value':'",SUBSTITUTE(BCKetQuaHoatDong_06028!D57,"'","\'"),"','TargetCode':''}")</f>
        <v>{'SheetId':'9e57442d-faa2-4732-bfe8-6082c7f4cc3b','UId':'913a97b8-0f0a-4141-8c25-d538ceaee879','Col':4,'Row':57,'Format':'numberic','Value':' ','TargetCode':''}</v>
      </c>
    </row>
    <row r="269" ht="12.75">
      <c r="A269" t="str">
        <f>CONCATENATE("{'SheetId':'9e57442d-faa2-4732-bfe8-6082c7f4cc3b'",",","'UId':'e496ef7d-483e-4b9a-88df-8925231821da'",",'Col':",COLUMN(BCKetQuaHoatDong_06028!E57),",'Row':",ROW(BCKetQuaHoatDong_06028!E57),",","'Format':'numberic'",",'Value':'",SUBSTITUTE(BCKetQuaHoatDong_06028!E57,"'","\'"),"','TargetCode':''}")</f>
        <v>{'SheetId':'9e57442d-faa2-4732-bfe8-6082c7f4cc3b','UId':'e496ef7d-483e-4b9a-88df-8925231821da','Col':5,'Row':57,'Format':'numberic','Value':' ','TargetCode':''}</v>
      </c>
    </row>
    <row r="270" ht="12.75">
      <c r="A270" t="str">
        <f>CONCATENATE("{'SheetId':'9e57442d-faa2-4732-bfe8-6082c7f4cc3b'",",","'UId':'3412402c-2226-4951-a761-60259d131db2'",",'Col':",COLUMN(BCKetQuaHoatDong_06028!F57),",'Row':",ROW(BCKetQuaHoatDong_06028!F57),",","'Format':'numberic'",",'Value':'",SUBSTITUTE(BCKetQuaHoatDong_06028!F57,"'","\'"),"','TargetCode':''}")</f>
        <v>{'SheetId':'9e57442d-faa2-4732-bfe8-6082c7f4cc3b','UId':'3412402c-2226-4951-a761-60259d131db2','Col':6,'Row':57,'Format':'numberic','Value':' ','TargetCode':''}</v>
      </c>
    </row>
    <row r="271" ht="12.75">
      <c r="A271" t="str">
        <f>CONCATENATE("{'SheetId':'9e57442d-faa2-4732-bfe8-6082c7f4cc3b'",",","'UId':'60a8eff8-ff29-4438-9df1-7fcd50284081'",",'Col':",COLUMN(BCKetQuaHoatDong_06028!D58),",'Row':",ROW(BCKetQuaHoatDong_06028!D58),",","'Format':'numberic'",",'Value':'",SUBSTITUTE(BCKetQuaHoatDong_06028!D58,"'","\'"),"','TargetCode':''}")</f>
        <v>{'SheetId':'9e57442d-faa2-4732-bfe8-6082c7f4cc3b','UId':'60a8eff8-ff29-4438-9df1-7fcd50284081','Col':4,'Row':58,'Format':'numberic','Value':' ','TargetCode':''}</v>
      </c>
    </row>
    <row r="272" ht="12.75">
      <c r="A272" t="str">
        <f>CONCATENATE("{'SheetId':'9e57442d-faa2-4732-bfe8-6082c7f4cc3b'",",","'UId':'e5334a5f-5783-46c1-8b37-fe7861d211a0'",",'Col':",COLUMN(BCKetQuaHoatDong_06028!E58),",'Row':",ROW(BCKetQuaHoatDong_06028!E58),",","'Format':'numberic'",",'Value':'",SUBSTITUTE(BCKetQuaHoatDong_06028!E58,"'","\'"),"','TargetCode':''}")</f>
        <v>{'SheetId':'9e57442d-faa2-4732-bfe8-6082c7f4cc3b','UId':'e5334a5f-5783-46c1-8b37-fe7861d211a0','Col':5,'Row':58,'Format':'numberic','Value':' ','TargetCode':''}</v>
      </c>
    </row>
    <row r="273" ht="12.75">
      <c r="A273" t="str">
        <f>CONCATENATE("{'SheetId':'9e57442d-faa2-4732-bfe8-6082c7f4cc3b'",",","'UId':'320effb9-3358-4bf4-91c8-6de1f9e55f08'",",'Col':",COLUMN(BCKetQuaHoatDong_06028!F58),",'Row':",ROW(BCKetQuaHoatDong_06028!F58),",","'Format':'numberic'",",'Value':'",SUBSTITUTE(BCKetQuaHoatDong_06028!F58,"'","\'"),"','TargetCode':''}")</f>
        <v>{'SheetId':'9e57442d-faa2-4732-bfe8-6082c7f4cc3b','UId':'320effb9-3358-4bf4-91c8-6de1f9e55f08','Col':6,'Row':58,'Format':'numberic','Value':'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ht="12.75">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ht="12.75">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ht="12.75">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ht="12.75">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ht="12.75">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 ','TargetCode':''}</v>
      </c>
    </row>
    <row r="291" ht="12.75">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 ','TargetCode':''}</v>
      </c>
    </row>
    <row r="292" ht="12.75">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ht="12.75">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ht="12.75">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ht="12.75">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ht="12.75">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ht="12.75">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ht="12.75">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ht="12.75">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ht="12.75">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ht="12.75">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ht="12.75">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ht="12.75">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ht="12.75">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ht="12.75">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ht="12.75">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ht="12.75">
      <c r="A307" t="str">
        <f>CONCATENATE("{'SheetId':'1deb9a6e-dc5a-4908-87cc-034ee9747e20'",",","'UId':'b8c20cc2-e76a-461c-ace9-e83abfcc1775'",",'Col':",COLUMN(BCDanhMucDauTu_06029!A18),",'Row':",ROW(BCDanhMucDauTu_06029!A18),",","'ColDynamic':",COLUMN(BCDanhMucDauTu_06029!A19),",","'RowDynamic':",ROW(BCDanhMucDauTu_06029!A19),",","'Format':'numberic'",",'Value':'",SUBSTITUTE(BCDanhMucDauTu_06029!A18,"'","\'"),"','TargetCode':''}")</f>
        <v>{'SheetId':'1deb9a6e-dc5a-4908-87cc-034ee9747e20','UId':'b8c20cc2-e76a-461c-ace9-e83abfcc1775','Col':1,'Row':18,'ColDynamic':1,'RowDynamic':19,'Format':'numberic','Value':' ','TargetCode':''}</v>
      </c>
    </row>
    <row r="308" ht="12.75">
      <c r="A308" t="str">
        <f>CONCATENATE("{'SheetId':'1deb9a6e-dc5a-4908-87cc-034ee9747e20'",",","'UId':'e6fa0887-9c0a-49b1-a5d5-d55f5bee7d17'",",'Col':",COLUMN(BCDanhMucDauTu_06029!B18),",'Row':",ROW(BCDanhMucDauTu_06029!B18),",","'ColDynamic':",COLUMN(BCDanhMucDauTu_06029!B19),",","'RowDynamic':",ROW(BCDanhMucDauTu_06029!B19),",","'Format':'string'",",'Value':'",SUBSTITUTE(BCDanhMucDauTu_06029!B18,"'","\'"),"','TargetCode':''}")</f>
        <v>{'SheetId':'1deb9a6e-dc5a-4908-87cc-034ee9747e20','UId':'e6fa0887-9c0a-49b1-a5d5-d55f5bee7d17','Col':2,'Row':18,'ColDynamic':2,'RowDynamic':19,'Format':'string','Value':'Tổng','TargetCode':''}</v>
      </c>
    </row>
    <row r="309" ht="12.75">
      <c r="A309" t="str">
        <f>CONCATENATE("{'SheetId':'1deb9a6e-dc5a-4908-87cc-034ee9747e20'",",","'UId':'6a029111-438c-4c2c-a425-15433a16ea47'",",'Col':",COLUMN(BCDanhMucDauTu_06029!C18),",'Row':",ROW(BCDanhMucDauTu_06029!C18),",","'ColDynamic':",COLUMN(BCDanhMucDauTu_06029!C19),",","'RowDynamic':",ROW(BCDanhMucDauTu_06029!C19),",","'Format':'numberic'",",'Value':'",SUBSTITUTE(BCDanhMucDauTu_06029!C18,"'","\'"),"','TargetCode':''}")</f>
        <v>{'SheetId':'1deb9a6e-dc5a-4908-87cc-034ee9747e20','UId':'6a029111-438c-4c2c-a425-15433a16ea47','Col':3,'Row':18,'ColDynamic':3,'RowDynamic':19,'Format':'numberic','Value':'2252','TargetCode':''}</v>
      </c>
    </row>
    <row r="310" ht="12.75">
      <c r="A310" t="str">
        <f>CONCATENATE("{'SheetId':'1deb9a6e-dc5a-4908-87cc-034ee9747e20'",",","'UId':'2af5b400-8abe-46e3-8b64-7efb4d13db84'",",'Col':",COLUMN(BCDanhMucDauTu_06029!D18),",'Row':",ROW(BCDanhMucDauTu_06029!D18),",","'ColDynamic':",COLUMN(BCDanhMucDauTu_06029!D19),",","'RowDynamic':",ROW(BCDanhMucDauTu_06029!D19),",","'Format':'numberic'",",'Value':'",SUBSTITUTE(BCDanhMucDauTu_06029!D18,"'","\'"),"','TargetCode':''}")</f>
        <v>{'SheetId':'1deb9a6e-dc5a-4908-87cc-034ee9747e20','UId':'2af5b400-8abe-46e3-8b64-7efb4d13db84','Col':4,'Row':18,'ColDynamic':4,'RowDynamic':19,'Format':'numberic','Value':'744356','TargetCode':''}</v>
      </c>
    </row>
    <row r="311" ht="12.75">
      <c r="A311" t="str">
        <f>CONCATENATE("{'SheetId':'1deb9a6e-dc5a-4908-87cc-034ee9747e20'",",","'UId':'142640d6-6a87-400c-bc3e-fd34124b8a95'",",'Col':",COLUMN(BCDanhMucDauTu_06029!E18),",'Row':",ROW(BCDanhMucDauTu_06029!E18),",","'ColDynamic':",COLUMN(BCDanhMucDauTu_06029!E19),",","'RowDynamic':",ROW(BCDanhMucDauTu_06029!E19),",","'Format':'numberic'",",'Value':'",SUBSTITUTE(BCDanhMucDauTu_06029!E18,"'","\'"),"','TargetCode':''}")</f>
        <v>{'SheetId':'1deb9a6e-dc5a-4908-87cc-034ee9747e20','UId':'142640d6-6a87-400c-bc3e-fd34124b8a95','Col':5,'Row':18,'ColDynamic':5,'RowDynamic':19,'Format':'numberic','Value':'','TargetCode':''}</v>
      </c>
    </row>
    <row r="312" ht="12.75">
      <c r="A312" t="str">
        <f>CONCATENATE("{'SheetId':'1deb9a6e-dc5a-4908-87cc-034ee9747e20'",",","'UId':'a4748164-33b9-46bd-8561-e8b3f76700ee'",",'Col':",COLUMN(BCDanhMucDauTu_06029!F18),",'Row':",ROW(BCDanhMucDauTu_06029!F18),",","'ColDynamic':",COLUMN(BCDanhMucDauTu_06029!F19),",","'RowDynamic':",ROW(BCDanhMucDauTu_06029!F19),",","'Format':'numberic'",",'Value':'",SUBSTITUTE(BCDanhMucDauTu_06029!F18,"'","\'"),"','TargetCode':''}")</f>
        <v>{'SheetId':'1deb9a6e-dc5a-4908-87cc-034ee9747e20','UId':'a4748164-33b9-46bd-8561-e8b3f76700ee','Col':6,'Row':18,'ColDynamic':6,'RowDynamic':19,'Format':'numberic','Value':'74408995877','TargetCode':''}</v>
      </c>
    </row>
    <row r="313" ht="12.75">
      <c r="A313" t="str">
        <f>CONCATENATE("{'SheetId':'1deb9a6e-dc5a-4908-87cc-034ee9747e20'",",","'UId':'8b15b2dd-95b7-4075-8cb9-63831db4f74a'",",'Col':",COLUMN(BCDanhMucDauTu_06029!G18),",'Row':",ROW(BCDanhMucDauTu_06029!G18),",","'ColDynamic':",COLUMN(BCDanhMucDauTu_06029!G19),",","'RowDynamic':",ROW(BCDanhMucDauTu_06029!G19),",","'Format':'numberic'",",'Value':'",SUBSTITUTE(BCDanhMucDauTu_06029!G18,"'","\'"),"','TargetCode':''}")</f>
        <v>{'SheetId':'1deb9a6e-dc5a-4908-87cc-034ee9747e20','UId':'8b15b2dd-95b7-4075-8cb9-63831db4f74a','Col':7,'Row':18,'ColDynamic':7,'RowDynamic':19,'Format':'numberic','Value':'0.476943879833268','TargetCode':''}</v>
      </c>
    </row>
    <row r="314" ht="12.75">
      <c r="A314" t="str">
        <f>CONCATENATE("{'SheetId':'1deb9a6e-dc5a-4908-87cc-034ee9747e20'",",","'UId':'fe496e11-6071-47ac-9042-fb59341ce9d3'",",'Col':",COLUMN(BCDanhMucDauTu_06029!D19),",'Row':",ROW(BCDanhMucDauTu_06029!D19),",","'Format':'numberic'",",'Value':'",SUBSTITUTE(BCDanhMucDauTu_06029!D19,"'","\'"),"','TargetCode':''}")</f>
        <v>{'SheetId':'1deb9a6e-dc5a-4908-87cc-034ee9747e20','UId':'fe496e11-6071-47ac-9042-fb59341ce9d3','Col':4,'Row':19,'Format':'numberic','Value':' ','TargetCode':''}</v>
      </c>
    </row>
    <row r="315" ht="12.75">
      <c r="A315" t="str">
        <f>CONCATENATE("{'SheetId':'1deb9a6e-dc5a-4908-87cc-034ee9747e20'",",","'UId':'8f08a933-d633-4287-845a-9819dc196996'",",'Col':",COLUMN(BCDanhMucDauTu_06029!E19),",'Row':",ROW(BCDanhMucDauTu_06029!E19),",","'Format':'numberic'",",'Value':'",SUBSTITUTE(BCDanhMucDauTu_06029!E19,"'","\'"),"','TargetCode':''}")</f>
        <v>{'SheetId':'1deb9a6e-dc5a-4908-87cc-034ee9747e20','UId':'8f08a933-d633-4287-845a-9819dc196996','Col':5,'Row':19,'Format':'numberic','Value':' ','TargetCode':''}</v>
      </c>
    </row>
    <row r="316" ht="12.75">
      <c r="A316" t="str">
        <f>CONCATENATE("{'SheetId':'1deb9a6e-dc5a-4908-87cc-034ee9747e20'",",","'UId':'dad551f4-82a6-49f9-9019-06cb4c328a89'",",'Col':",COLUMN(BCDanhMucDauTu_06029!F19),",'Row':",ROW(BCDanhMucDauTu_06029!F19),",","'Format':'numberic'",",'Value':'",SUBSTITUTE(BCDanhMucDauTu_06029!F19,"'","\'"),"','TargetCode':''}")</f>
        <v>{'SheetId':'1deb9a6e-dc5a-4908-87cc-034ee9747e20','UId':'dad551f4-82a6-49f9-9019-06cb4c328a89','Col':6,'Row':19,'Format':'numberic','Value':' ','TargetCode':''}</v>
      </c>
    </row>
    <row r="317" ht="12.75">
      <c r="A317" t="str">
        <f>CONCATENATE("{'SheetId':'1deb9a6e-dc5a-4908-87cc-034ee9747e20'",",","'UId':'7bf94847-0bfe-4d96-ab7a-1ce79d9343f5'",",'Col':",COLUMN(BCDanhMucDauTu_06029!G19),",'Row':",ROW(BCDanhMucDauTu_06029!G19),",","'Format':'numberic'",",'Value':'",SUBSTITUTE(BCDanhMucDauTu_06029!G19,"'","\'"),"','TargetCode':''}")</f>
        <v>{'SheetId':'1deb9a6e-dc5a-4908-87cc-034ee9747e20','UId':'7bf94847-0bfe-4d96-ab7a-1ce79d9343f5','Col':7,'Row':19,'Format':'numberic','Value':' ','TargetCode':''}</v>
      </c>
    </row>
    <row r="318" ht="12.75">
      <c r="A318" t="str">
        <f>CONCATENATE("{'SheetId':'1deb9a6e-dc5a-4908-87cc-034ee9747e20'",",","'UId':'55eed474-1147-4da3-9086-9e821874c0a4'",",'Col':",COLUMN(BCDanhMucDauTu_06029!A21),",'Row':",ROW(BCDanhMucDauTu_06029!A21),",","'ColDynamic':",COLUMN(BCDanhMucDauTu_06029!A24),",","'RowDynamic':",ROW(BCDanhMucDauTu_06029!A24),",","'Format':'numberic'",",'Value':'",SUBSTITUTE(BCDanhMucDauTu_06029!A21,"'","\'"),"','TargetCode':''}")</f>
        <v>{'SheetId':'1deb9a6e-dc5a-4908-87cc-034ee9747e20','UId':'55eed474-1147-4da3-9086-9e821874c0a4','Col':1,'Row':21,'ColDynamic':1,'RowDynamic':24,'Format':'numberic','Value':' ','TargetCode':''}</v>
      </c>
    </row>
    <row r="319" ht="12.75">
      <c r="A319" t="str">
        <f>CONCATENATE("{'SheetId':'1deb9a6e-dc5a-4908-87cc-034ee9747e20'",",","'UId':'1c32b7bf-2ca1-44a0-8279-a8f01d6b7249'",",'Col':",COLUMN(BCDanhMucDauTu_06029!B21),",'Row':",ROW(BCDanhMucDauTu_06029!B21),",","'ColDynamic':",COLUMN(BCDanhMucDauTu_06029!B24),",","'RowDynamic':",ROW(BCDanhMucDauTu_06029!B24),",","'Format':'string'",",'Value':'",SUBSTITUTE(BCDanhMucDauTu_06029!B21,"'","\'"),"','TargetCode':''}")</f>
        <v>{'SheetId':'1deb9a6e-dc5a-4908-87cc-034ee9747e20','UId':'1c32b7bf-2ca1-44a0-8279-a8f01d6b7249','Col':2,'Row':21,'ColDynamic':2,'RowDynamic':24,'Format':'string','Value':'Tổng','TargetCode':''}</v>
      </c>
    </row>
    <row r="320" ht="12.75">
      <c r="A320" t="str">
        <f>CONCATENATE("{'SheetId':'1deb9a6e-dc5a-4908-87cc-034ee9747e20'",",","'UId':'f6a0865a-7cc4-4bd5-9c41-171ccfbe8908'",",'Col':",COLUMN(BCDanhMucDauTu_06029!C21),",'Row':",ROW(BCDanhMucDauTu_06029!C21),",","'ColDynamic':",COLUMN(BCDanhMucDauTu_06029!C24),",","'RowDynamic':",ROW(BCDanhMucDauTu_06029!C24),",","'Format':'numberic'",",'Value':'",SUBSTITUTE(BCDanhMucDauTu_06029!C21,"'","\'"),"','TargetCode':''}")</f>
        <v>{'SheetId':'1deb9a6e-dc5a-4908-87cc-034ee9747e20','UId':'f6a0865a-7cc4-4bd5-9c41-171ccfbe8908','Col':3,'Row':21,'ColDynamic':3,'RowDynamic':24,'Format':'numberic','Value':'2254','TargetCode':''}</v>
      </c>
    </row>
    <row r="321" ht="12.75">
      <c r="A321" t="str">
        <f>CONCATENATE("{'SheetId':'1deb9a6e-dc5a-4908-87cc-034ee9747e20'",",","'UId':'26677bc1-4784-4b02-a8da-eb1a17958c29'",",'Col':",COLUMN(BCDanhMucDauTu_06029!D21),",'Row':",ROW(BCDanhMucDauTu_06029!D21),",","'ColDynamic':",COLUMN(BCDanhMucDauTu_06029!D24),",","'RowDynamic':",ROW(BCDanhMucDauTu_06029!D24),",","'Format':'numberic'",",'Value':'",SUBSTITUTE(BCDanhMucDauTu_06029!D21,"'","\'"),"','TargetCode':''}")</f>
        <v>{'SheetId':'1deb9a6e-dc5a-4908-87cc-034ee9747e20','UId':'26677bc1-4784-4b02-a8da-eb1a17958c29','Col':4,'Row':21,'ColDynamic':4,'RowDynamic':24,'Format':'numberic','Value':' ','TargetCode':''}</v>
      </c>
    </row>
    <row r="322" ht="12.75">
      <c r="A322" t="str">
        <f>CONCATENATE("{'SheetId':'1deb9a6e-dc5a-4908-87cc-034ee9747e20'",",","'UId':'8088aec8-68fc-443f-8fce-4f1788e831ff'",",'Col':",COLUMN(BCDanhMucDauTu_06029!E21),",'Row':",ROW(BCDanhMucDauTu_06029!E21),",","'ColDynamic':",COLUMN(BCDanhMucDauTu_06029!E24),",","'RowDynamic':",ROW(BCDanhMucDauTu_06029!E24),",","'Format':'numberic'",",'Value':'",SUBSTITUTE(BCDanhMucDauTu_06029!E21,"'","\'"),"','TargetCode':''}")</f>
        <v>{'SheetId':'1deb9a6e-dc5a-4908-87cc-034ee9747e20','UId':'8088aec8-68fc-443f-8fce-4f1788e831ff','Col':5,'Row':21,'ColDynamic':5,'RowDynamic':24,'Format':'numberic','Value':' ','TargetCode':''}</v>
      </c>
    </row>
    <row r="323" ht="12.75">
      <c r="A323" t="str">
        <f>CONCATENATE("{'SheetId':'1deb9a6e-dc5a-4908-87cc-034ee9747e20'",",","'UId':'109895da-3858-4d8d-ab90-543bcf58b23e'",",'Col':",COLUMN(BCDanhMucDauTu_06029!F21),",'Row':",ROW(BCDanhMucDauTu_06029!F21),",","'ColDynamic':",COLUMN(BCDanhMucDauTu_06029!F24),",","'RowDynamic':",ROW(BCDanhMucDauTu_06029!F24),",","'Format':'numberic'",",'Value':'",SUBSTITUTE(BCDanhMucDauTu_06029!F21,"'","\'"),"','TargetCode':''}")</f>
        <v>{'SheetId':'1deb9a6e-dc5a-4908-87cc-034ee9747e20','UId':'109895da-3858-4d8d-ab90-543bcf58b23e','Col':6,'Row':21,'ColDynamic':6,'RowDynamic':24,'Format':'numberic','Value':' ','TargetCode':''}</v>
      </c>
    </row>
    <row r="324" ht="12.75">
      <c r="A324" t="str">
        <f>CONCATENATE("{'SheetId':'1deb9a6e-dc5a-4908-87cc-034ee9747e20'",",","'UId':'b12319f9-b486-4e3c-968f-635c2693280b'",",'Col':",COLUMN(BCDanhMucDauTu_06029!G21),",'Row':",ROW(BCDanhMucDauTu_06029!G21),",","'ColDynamic':",COLUMN(BCDanhMucDauTu_06029!G24),",","'RowDynamic':",ROW(BCDanhMucDauTu_06029!G24),",","'Format':'numberic'",",'Value':'",SUBSTITUTE(BCDanhMucDauTu_06029!G21,"'","\'"),"','TargetCode':''}")</f>
        <v>{'SheetId':'1deb9a6e-dc5a-4908-87cc-034ee9747e20','UId':'b12319f9-b486-4e3c-968f-635c2693280b','Col':7,'Row':21,'ColDynamic':7,'RowDynamic':24,'Format':'numberic','Value':' ','TargetCode':''}</v>
      </c>
    </row>
    <row r="325" ht="12.75">
      <c r="A325" t="str">
        <f>CONCATENATE("{'SheetId':'1deb9a6e-dc5a-4908-87cc-034ee9747e20'",",","'UId':'740ad2fc-8f8c-4571-bfbb-d73a204a23fa'",",'Col':",COLUMN(BCDanhMucDauTu_06029!D22),",'Row':",ROW(BCDanhMucDauTu_06029!D22),",","'Format':'numberic'",",'Value':'",SUBSTITUTE(BCDanhMucDauTu_06029!D22,"'","\'"),"','TargetCode':''}")</f>
        <v>{'SheetId':'1deb9a6e-dc5a-4908-87cc-034ee9747e20','UId':'740ad2fc-8f8c-4571-bfbb-d73a204a23fa','Col':4,'Row':22,'Format':'numberic','Value':'744356','TargetCode':''}</v>
      </c>
    </row>
    <row r="326" ht="12.75">
      <c r="A326" t="str">
        <f>CONCATENATE("{'SheetId':'1deb9a6e-dc5a-4908-87cc-034ee9747e20'",",","'UId':'41643327-c3cb-4259-acbc-d10c8c939580'",",'Col':",COLUMN(BCDanhMucDauTu_06029!E22),",'Row':",ROW(BCDanhMucDauTu_06029!E22),",","'Format':'numberic'",",'Value':'",SUBSTITUTE(BCDanhMucDauTu_06029!E22,"'","\'"),"','TargetCode':''}")</f>
        <v>{'SheetId':'1deb9a6e-dc5a-4908-87cc-034ee9747e20','UId':'41643327-c3cb-4259-acbc-d10c8c939580','Col':5,'Row':22,'Format':'numberic','Value':'','TargetCode':''}</v>
      </c>
    </row>
    <row r="327" ht="12.75">
      <c r="A327" t="str">
        <f>CONCATENATE("{'SheetId':'1deb9a6e-dc5a-4908-87cc-034ee9747e20'",",","'UId':'d007d564-0a98-45f4-94c4-a2e4056245bc'",",'Col':",COLUMN(BCDanhMucDauTu_06029!F22),",'Row':",ROW(BCDanhMucDauTu_06029!F22),",","'Format':'numberic'",",'Value':'",SUBSTITUTE(BCDanhMucDauTu_06029!F22,"'","\'"),"','TargetCode':''}")</f>
        <v>{'SheetId':'1deb9a6e-dc5a-4908-87cc-034ee9747e20','UId':'d007d564-0a98-45f4-94c4-a2e4056245bc','Col':6,'Row':22,'Format':'numberic','Value':'74408995877','TargetCode':''}</v>
      </c>
    </row>
    <row r="328" ht="12.75">
      <c r="A328" t="str">
        <f>CONCATENATE("{'SheetId':'1deb9a6e-dc5a-4908-87cc-034ee9747e20'",",","'UId':'87b8e950-d5f9-45b4-8cfb-d8108dd16f8f'",",'Col':",COLUMN(BCDanhMucDauTu_06029!G22),",'Row':",ROW(BCDanhMucDauTu_06029!G22),",","'Format':'numberic'",",'Value':'",SUBSTITUTE(BCDanhMucDauTu_06029!G22,"'","\'"),"','TargetCode':''}")</f>
        <v>{'SheetId':'1deb9a6e-dc5a-4908-87cc-034ee9747e20','UId':'87b8e950-d5f9-45b4-8cfb-d8108dd16f8f','Col':7,'Row':22,'Format':'numberic','Value':'0.476943879833268','TargetCode':''}</v>
      </c>
    </row>
    <row r="329" ht="12.75">
      <c r="A329" t="str">
        <f>CONCATENATE("{'SheetId':'1deb9a6e-dc5a-4908-87cc-034ee9747e20'",",","'UId':'70e2406f-94eb-466f-8d09-837ad44a449c'",",'Col':",COLUMN(BCDanhMucDauTu_06029!D23),",'Row':",ROW(BCDanhMucDauTu_06029!D23),",","'Format':'numberic'",",'Value':'",SUBSTITUTE(BCDanhMucDauTu_06029!D23,"'","\'"),"','TargetCode':''}")</f>
        <v>{'SheetId':'1deb9a6e-dc5a-4908-87cc-034ee9747e20','UId':'70e2406f-94eb-466f-8d09-837ad44a449c','Col':4,'Row':23,'Format':'numberic','Value':' ','TargetCode':''}</v>
      </c>
    </row>
    <row r="330" ht="12.75">
      <c r="A330" t="str">
        <f>CONCATENATE("{'SheetId':'1deb9a6e-dc5a-4908-87cc-034ee9747e20'",",","'UId':'d0c68994-6723-45f4-a51b-ec4a1f1cb761'",",'Col':",COLUMN(BCDanhMucDauTu_06029!E23),",'Row':",ROW(BCDanhMucDauTu_06029!E23),",","'Format':'numberic'",",'Value':'",SUBSTITUTE(BCDanhMucDauTu_06029!E23,"'","\'"),"','TargetCode':''}")</f>
        <v>{'SheetId':'1deb9a6e-dc5a-4908-87cc-034ee9747e20','UId':'d0c68994-6723-45f4-a51b-ec4a1f1cb761','Col':5,'Row':23,'Format':'numberic','Value':' ','TargetCode':''}</v>
      </c>
    </row>
    <row r="331" ht="12.75">
      <c r="A331" t="str">
        <f>CONCATENATE("{'SheetId':'1deb9a6e-dc5a-4908-87cc-034ee9747e20'",",","'UId':'6c78638c-c601-49bf-a9e5-d48c4258eadd'",",'Col':",COLUMN(BCDanhMucDauTu_06029!F23),",'Row':",ROW(BCDanhMucDauTu_06029!F23),",","'Format':'numberic'",",'Value':'",SUBSTITUTE(BCDanhMucDauTu_06029!F23,"'","\'"),"','TargetCode':''}")</f>
        <v>{'SheetId':'1deb9a6e-dc5a-4908-87cc-034ee9747e20','UId':'6c78638c-c601-49bf-a9e5-d48c4258eadd','Col':6,'Row':23,'Format':'numberic','Value':' ','TargetCode':''}</v>
      </c>
    </row>
    <row r="332" ht="12.75">
      <c r="A332" t="str">
        <f>CONCATENATE("{'SheetId':'1deb9a6e-dc5a-4908-87cc-034ee9747e20'",",","'UId':'bb82eed3-a7c3-4954-be20-20a9717d4026'",",'Col':",COLUMN(BCDanhMucDauTu_06029!G23),",'Row':",ROW(BCDanhMucDauTu_06029!G23),",","'Format':'numberic'",",'Value':'",SUBSTITUTE(BCDanhMucDauTu_06029!G23,"'","\'"),"','TargetCode':''}")</f>
        <v>{'SheetId':'1deb9a6e-dc5a-4908-87cc-034ee9747e20','UId':'bb82eed3-a7c3-4954-be20-20a9717d4026','Col':7,'Row':23,'Format':'numberic','Value':' ','TargetCode':''}</v>
      </c>
    </row>
    <row r="333" ht="12.75">
      <c r="A333" t="str">
        <f>CONCATENATE("{'SheetId':'1deb9a6e-dc5a-4908-87cc-034ee9747e20'",",","'UId':'4fe6fd2f-049f-4c3b-a78b-58fd08d62d7d'",",'Col':",COLUMN(BCDanhMucDauTu_06029!A32),",'Row':",ROW(BCDanhMucDauTu_06029!A32),",","'ColDynamic':",COLUMN(BCDanhMucDauTu_06029!A35),",","'RowDynamic':",ROW(BCDanhMucDauTu_06029!A35),",","'Format':'numberic'",",'Value':'",SUBSTITUTE(BCDanhMucDauTu_06029!A32,"'","\'"),"','TargetCode':''}")</f>
        <v>{'SheetId':'1deb9a6e-dc5a-4908-87cc-034ee9747e20','UId':'4fe6fd2f-049f-4c3b-a78b-58fd08d62d7d','Col':1,'Row':32,'ColDynamic':1,'RowDynamic':35,'Format':'numberic','Value':' ','TargetCode':''}</v>
      </c>
    </row>
    <row r="334" ht="12.75">
      <c r="A334" t="str">
        <f>CONCATENATE("{'SheetId':'1deb9a6e-dc5a-4908-87cc-034ee9747e20'",",","'UId':'21737fa5-5263-466a-9802-c554ec94ffeb'",",'Col':",COLUMN(BCDanhMucDauTu_06029!B32),",'Row':",ROW(BCDanhMucDauTu_06029!B32),",","'ColDynamic':",COLUMN(BCDanhMucDauTu_06029!B35),",","'RowDynamic':",ROW(BCDanhMucDauTu_06029!B35),",","'Format':'string'",",'Value':'",SUBSTITUTE(BCDanhMucDauTu_06029!B32,"'","\'"),"','TargetCode':''}")</f>
        <v>{'SheetId':'1deb9a6e-dc5a-4908-87cc-034ee9747e20','UId':'21737fa5-5263-466a-9802-c554ec94ffeb','Col':2,'Row':32,'ColDynamic':2,'RowDynamic':35,'Format':'string','Value':'Tổng','TargetCode':''}</v>
      </c>
    </row>
    <row r="335" ht="12.75">
      <c r="A335" t="str">
        <f>CONCATENATE("{'SheetId':'1deb9a6e-dc5a-4908-87cc-034ee9747e20'",",","'UId':'b1780ae8-e3e9-4d68-b8e3-06dc22233b5c'",",'Col':",COLUMN(BCDanhMucDauTu_06029!C32),",'Row':",ROW(BCDanhMucDauTu_06029!C32),",","'ColDynamic':",COLUMN(BCDanhMucDauTu_06029!C35),",","'RowDynamic':",ROW(BCDanhMucDauTu_06029!C35),",","'Format':'numberic'",",'Value':'",SUBSTITUTE(BCDanhMucDauTu_06029!C32,"'","\'"),"','TargetCode':''}")</f>
        <v>{'SheetId':'1deb9a6e-dc5a-4908-87cc-034ee9747e20','UId':'b1780ae8-e3e9-4d68-b8e3-06dc22233b5c','Col':3,'Row':32,'ColDynamic':3,'RowDynamic':35,'Format':'numberic','Value':'2257','TargetCode':''}</v>
      </c>
    </row>
    <row r="336" ht="12.75">
      <c r="A336" t="str">
        <f>CONCATENATE("{'SheetId':'1deb9a6e-dc5a-4908-87cc-034ee9747e20'",",","'UId':'fd0c415a-d2bc-42ee-b389-414f8400dae8'",",'Col':",COLUMN(BCDanhMucDauTu_06029!D32),",'Row':",ROW(BCDanhMucDauTu_06029!D32),",","'ColDynamic':",COLUMN(BCDanhMucDauTu_06029!D35),",","'RowDynamic':",ROW(BCDanhMucDauTu_06029!D35),",","'Format':'numberic'",",'Value':'",SUBSTITUTE(BCDanhMucDauTu_06029!D32,"'","\'"),"','TargetCode':''}")</f>
        <v>{'SheetId':'1deb9a6e-dc5a-4908-87cc-034ee9747e20','UId':'fd0c415a-d2bc-42ee-b389-414f8400dae8','Col':4,'Row':32,'ColDynamic':4,'RowDynamic':35,'Format':'numberic','Value':' ','TargetCode':''}</v>
      </c>
    </row>
    <row r="337" ht="12.75">
      <c r="A337" t="str">
        <f>CONCATENATE("{'SheetId':'1deb9a6e-dc5a-4908-87cc-034ee9747e20'",",","'UId':'816243e8-9c85-4ba1-805c-371f6b4844e4'",",'Col':",COLUMN(BCDanhMucDauTu_06029!E32),",'Row':",ROW(BCDanhMucDauTu_06029!E32),",","'ColDynamic':",COLUMN(BCDanhMucDauTu_06029!E35),",","'RowDynamic':",ROW(BCDanhMucDauTu_06029!E35),",","'Format':'numberic'",",'Value':'",SUBSTITUTE(BCDanhMucDauTu_06029!E32,"'","\'"),"','TargetCode':''}")</f>
        <v>{'SheetId':'1deb9a6e-dc5a-4908-87cc-034ee9747e20','UId':'816243e8-9c85-4ba1-805c-371f6b4844e4','Col':5,'Row':32,'ColDynamic':5,'RowDynamic':35,'Format':'numberic','Value':' ','TargetCode':''}</v>
      </c>
    </row>
    <row r="338" ht="12.75">
      <c r="A338" t="str">
        <f>CONCATENATE("{'SheetId':'1deb9a6e-dc5a-4908-87cc-034ee9747e20'",",","'UId':'2efa8183-1804-400f-919b-54e0d328e017'",",'Col':",COLUMN(BCDanhMucDauTu_06029!F32),",'Row':",ROW(BCDanhMucDauTu_06029!F32),",","'ColDynamic':",COLUMN(BCDanhMucDauTu_06029!F35),",","'RowDynamic':",ROW(BCDanhMucDauTu_06029!F35),",","'Format':'numberic'",",'Value':'",SUBSTITUTE(BCDanhMucDauTu_06029!F32,"'","\'"),"','TargetCode':''}")</f>
        <v>{'SheetId':'1deb9a6e-dc5a-4908-87cc-034ee9747e20','UId':'2efa8183-1804-400f-919b-54e0d328e017','Col':6,'Row':32,'ColDynamic':6,'RowDynamic':35,'Format':'numberic','Value':'51495788748','TargetCode':''}</v>
      </c>
    </row>
    <row r="339" ht="12.75">
      <c r="A339" t="str">
        <f>CONCATENATE("{'SheetId':'1deb9a6e-dc5a-4908-87cc-034ee9747e20'",",","'UId':'890ca93f-4ffa-4063-bc4e-3ca8427d321f'",",'Col':",COLUMN(BCDanhMucDauTu_06029!G32),",'Row':",ROW(BCDanhMucDauTu_06029!G32),",","'ColDynamic':",COLUMN(BCDanhMucDauTu_06029!G35),",","'RowDynamic':",ROW(BCDanhMucDauTu_06029!G35),",","'Format':'numberic'",",'Value':'",SUBSTITUTE(BCDanhMucDauTu_06029!G32,"'","\'"),"','TargetCode':''}")</f>
        <v>{'SheetId':'1deb9a6e-dc5a-4908-87cc-034ee9747e20','UId':'890ca93f-4ffa-4063-bc4e-3ca8427d321f','Col':7,'Row':32,'ColDynamic':7,'RowDynamic':35,'Format':'numberic','Value':'0.330075698389275','TargetCode':''}</v>
      </c>
    </row>
    <row r="340" ht="12.75">
      <c r="A340" t="str">
        <f>CONCATENATE("{'SheetId':'1deb9a6e-dc5a-4908-87cc-034ee9747e20'",",","'UId':'df249e66-a9ea-45a2-9c76-d51aecb2379d'",",'Col':",COLUMN(BCDanhMucDauTu_06029!D33),",'Row':",ROW(BCDanhMucDauTu_06029!D33),",","'Format':'numberic'",",'Value':'",SUBSTITUTE(BCDanhMucDauTu_06029!D33,"'","\'"),"','TargetCode':''}")</f>
        <v>{'SheetId':'1deb9a6e-dc5a-4908-87cc-034ee9747e20','UId':'df249e66-a9ea-45a2-9c76-d51aecb2379d','Col':4,'Row':33,'Format':'numberic','Value':' ','TargetCode':''}</v>
      </c>
    </row>
    <row r="341" ht="12.75">
      <c r="A341" t="str">
        <f>CONCATENATE("{'SheetId':'1deb9a6e-dc5a-4908-87cc-034ee9747e20'",",","'UId':'a81df1b4-0c26-4bbd-9a9d-27dc4b538b2c'",",'Col':",COLUMN(BCDanhMucDauTu_06029!E33),",'Row':",ROW(BCDanhMucDauTu_06029!E33),",","'Format':'numberic'",",'Value':'",SUBSTITUTE(BCDanhMucDauTu_06029!E33,"'","\'"),"','TargetCode':''}")</f>
        <v>{'SheetId':'1deb9a6e-dc5a-4908-87cc-034ee9747e20','UId':'a81df1b4-0c26-4bbd-9a9d-27dc4b538b2c','Col':5,'Row':33,'Format':'numberic','Value':' ','TargetCode':''}</v>
      </c>
    </row>
    <row r="342" ht="12.75">
      <c r="A342" t="str">
        <f>CONCATENATE("{'SheetId':'1deb9a6e-dc5a-4908-87cc-034ee9747e20'",",","'UId':'4a9e3616-ca24-464d-b5e2-89b07d4dab94'",",'Col':",COLUMN(BCDanhMucDauTu_06029!F33),",'Row':",ROW(BCDanhMucDauTu_06029!F33),",","'Format':'numberic'",",'Value':'",SUBSTITUTE(BCDanhMucDauTu_06029!F33,"'","\'"),"','TargetCode':''}")</f>
        <v>{'SheetId':'1deb9a6e-dc5a-4908-87cc-034ee9747e20','UId':'4a9e3616-ca24-464d-b5e2-89b07d4dab94','Col':6,'Row':33,'Format':'numberic','Value':' ','TargetCode':''}</v>
      </c>
    </row>
    <row r="343" ht="12.75">
      <c r="A343" t="str">
        <f>CONCATENATE("{'SheetId':'1deb9a6e-dc5a-4908-87cc-034ee9747e20'",",","'UId':'4cbb5dbb-7a56-4367-b451-172c5d9fc088'",",'Col':",COLUMN(BCDanhMucDauTu_06029!G33),",'Row':",ROW(BCDanhMucDauTu_06029!G33),",","'Format':'numberic'",",'Value':'",SUBSTITUTE(BCDanhMucDauTu_06029!G33,"'","\'"),"','TargetCode':''}")</f>
        <v>{'SheetId':'1deb9a6e-dc5a-4908-87cc-034ee9747e20','UId':'4cbb5dbb-7a56-4367-b451-172c5d9fc088','Col':7,'Row':33,'Format':'numberic','Value':' ','TargetCode':''}</v>
      </c>
    </row>
    <row r="344" ht="12.75">
      <c r="A344" t="str">
        <f>CONCATENATE("{'SheetId':'1deb9a6e-dc5a-4908-87cc-034ee9747e20'",",","'UId':'70357de6-0706-48a2-a361-da95bcaa1827'",",'Col':",COLUMN(BCDanhMucDauTu_06029!D34),",'Row':",ROW(BCDanhMucDauTu_06029!D34),",","'Format':'numberic'",",'Value':'",SUBSTITUTE(BCDanhMucDauTu_06029!D34,"'","\'"),"','TargetCode':''}")</f>
        <v>{'SheetId':'1deb9a6e-dc5a-4908-87cc-034ee9747e20','UId':'70357de6-0706-48a2-a361-da95bcaa1827','Col':4,'Row':34,'Format':'numberic','Value':' ','TargetCode':''}</v>
      </c>
    </row>
    <row r="345" ht="12.75">
      <c r="A345" t="str">
        <f>CONCATENATE("{'SheetId':'1deb9a6e-dc5a-4908-87cc-034ee9747e20'",",","'UId':'4f148c59-190d-4dad-aff9-126f4ce81c6d'",",'Col':",COLUMN(BCDanhMucDauTu_06029!E34),",'Row':",ROW(BCDanhMucDauTu_06029!E34),",","'Format':'numberic'",",'Value':'",SUBSTITUTE(BCDanhMucDauTu_06029!E34,"'","\'"),"','TargetCode':''}")</f>
        <v>{'SheetId':'1deb9a6e-dc5a-4908-87cc-034ee9747e20','UId':'4f148c59-190d-4dad-aff9-126f4ce81c6d','Col':5,'Row':34,'Format':'numberic','Value':' ','TargetCode':''}</v>
      </c>
    </row>
    <row r="346" ht="12.75">
      <c r="A346" t="str">
        <f>CONCATENATE("{'SheetId':'1deb9a6e-dc5a-4908-87cc-034ee9747e20'",",","'UId':'6ba9d2bf-7322-4bb6-be73-05a728f53c5a'",",'Col':",COLUMN(BCDanhMucDauTu_06029!F34),",'Row':",ROW(BCDanhMucDauTu_06029!F34),",","'Format':'numberic'",",'Value':'",SUBSTITUTE(BCDanhMucDauTu_06029!F34,"'","\'"),"','TargetCode':''}")</f>
        <v>{'SheetId':'1deb9a6e-dc5a-4908-87cc-034ee9747e20','UId':'6ba9d2bf-7322-4bb6-be73-05a728f53c5a','Col':6,'Row':34,'Format':'numberic','Value':'30107272607','TargetCode':''}</v>
      </c>
    </row>
    <row r="347" ht="12.75">
      <c r="A347" t="str">
        <f>CONCATENATE("{'SheetId':'1deb9a6e-dc5a-4908-87cc-034ee9747e20'",",","'UId':'cad08826-aed0-458d-a3df-563ee1ca2782'",",'Col':",COLUMN(BCDanhMucDauTu_06029!G34),",'Row':",ROW(BCDanhMucDauTu_06029!G34),",","'Format':'numberic'",",'Value':'",SUBSTITUTE(BCDanhMucDauTu_06029!G34,"'","\'"),"','TargetCode':''}")</f>
        <v>{'SheetId':'1deb9a6e-dc5a-4908-87cc-034ee9747e20','UId':'cad08826-aed0-458d-a3df-563ee1ca2782','Col':7,'Row':34,'Format':'numberic','Value':'0.192980421777456','TargetCode':''}</v>
      </c>
    </row>
    <row r="348" ht="12.75">
      <c r="A348" t="str">
        <f>CONCATENATE("{'SheetId':'1deb9a6e-dc5a-4908-87cc-034ee9747e20'",",","'UId':'26452794-e0d2-44f2-8c51-7f5465fbf4cf'",",'Col':",COLUMN(BCDanhMucDauTu_06029!A39),",'Row':",ROW(BCDanhMucDauTu_06029!A39),",","'ColDynamic':",COLUMN(BCDanhMucDauTu_06029!A33),",","'RowDynamic':",ROW(BCDanhMucDauTu_06029!A33),",","'Format':'string'",",'Value':'",SUBSTITUTE(BCDanhMucDauTu_06029!A39,"'","\'"),"','TargetCode':''}")</f>
        <v>{'SheetId':'1deb9a6e-dc5a-4908-87cc-034ee9747e20','UId':'26452794-e0d2-44f2-8c51-7f5465fbf4cf','Col':1,'Row':39,'ColDynamic':1,'RowDynamic':33,'Format':'string','Value':' ','TargetCode':''}</v>
      </c>
    </row>
    <row r="349" ht="12.75">
      <c r="A349" t="str">
        <f>CONCATENATE("{'SheetId':'1deb9a6e-dc5a-4908-87cc-034ee9747e20'",",","'UId':'9b14eff9-5e45-4cf1-9494-0604b89ed28b'",",'Col':",COLUMN(BCDanhMucDauTu_06029!B39),",'Row':",ROW(BCDanhMucDauTu_06029!B39),",","'ColDynamic':",COLUMN(BCDanhMucDauTu_06029!B33),",","'RowDynamic':",ROW(BCDanhMucDauTu_06029!B33),",","'Format':'string'",",'Value':'",SUBSTITUTE(BCDanhMucDauTu_06029!B39,"'","\'"),"','TargetCode':''}")</f>
        <v>{'SheetId':'1deb9a6e-dc5a-4908-87cc-034ee9747e20','UId':'9b14eff9-5e45-4cf1-9494-0604b89ed28b','Col':2,'Row':39,'ColDynamic':2,'RowDynamic':33,'Format':'string','Value':'Tiền gửi ngân hàng','TargetCode':''}</v>
      </c>
    </row>
    <row r="350" ht="12.75">
      <c r="A350" t="str">
        <f>CONCATENATE("{'SheetId':'1deb9a6e-dc5a-4908-87cc-034ee9747e20'",",","'UId':'8d66f097-23e3-4ef9-8131-e5ac52c6b32f'",",'Col':",COLUMN(BCDanhMucDauTu_06029!C39),",'Row':",ROW(BCDanhMucDauTu_06029!C39),",","'ColDynamic':",COLUMN(BCDanhMucDauTu_06029!C33),",","'RowDynamic':",ROW(BCDanhMucDauTu_06029!C33),",","'Format':'string'",",'Value':'",SUBSTITUTE(BCDanhMucDauTu_06029!C39,"'","\'"),"','TargetCode':''}")</f>
        <v>{'SheetId':'1deb9a6e-dc5a-4908-87cc-034ee9747e20','UId':'8d66f097-23e3-4ef9-8131-e5ac52c6b32f','Col':3,'Row':39,'ColDynamic':3,'RowDynamic':33,'Format':'string','Value':'2260','TargetCode':''}</v>
      </c>
    </row>
    <row r="351" ht="12.75">
      <c r="A351" t="str">
        <f>CONCATENATE("{'SheetId':'1deb9a6e-dc5a-4908-87cc-034ee9747e20'",",","'UId':'ead9614a-658c-4220-bedf-ca1bfba113ca'",",'Col':",COLUMN(BCDanhMucDauTu_06029!D39),",'Row':",ROW(BCDanhMucDauTu_06029!D39),",","'ColDynamic':",COLUMN(BCDanhMucDauTu_06029!D33),",","'RowDynamic':",ROW(BCDanhMucDauTu_06029!D33),",","'Format':'numberic'",",'Value':'",SUBSTITUTE(BCDanhMucDauTu_06029!D39,"'","\'"),"','TargetCode':''}")</f>
        <v>{'SheetId':'1deb9a6e-dc5a-4908-87cc-034ee9747e20','UId':'ead9614a-658c-4220-bedf-ca1bfba113ca','Col':4,'Row':39,'ColDynamic':4,'RowDynamic':33,'Format':'numberic','Value':' ','TargetCode':''}</v>
      </c>
    </row>
    <row r="352" ht="12.75">
      <c r="A352" t="str">
        <f>CONCATENATE("{'SheetId':'1deb9a6e-dc5a-4908-87cc-034ee9747e20'",",","'UId':'4fdfc09c-5e5b-40ad-b617-c48d140e6fbc'",",'Col':",COLUMN(BCDanhMucDauTu_06029!E39),",'Row':",ROW(BCDanhMucDauTu_06029!E39),",","'ColDynamic':",COLUMN(BCDanhMucDauTu_06029!E33),",","'RowDynamic':",ROW(BCDanhMucDauTu_06029!E33),",","'Format':'numberic'",",'Value':'",SUBSTITUTE(BCDanhMucDauTu_06029!E39,"'","\'"),"','TargetCode':''}")</f>
        <v>{'SheetId':'1deb9a6e-dc5a-4908-87cc-034ee9747e20','UId':'4fdfc09c-5e5b-40ad-b617-c48d140e6fbc','Col':5,'Row':39,'ColDynamic':5,'RowDynamic':33,'Format':'numberic','Value':' ','TargetCode':''}</v>
      </c>
    </row>
    <row r="353" ht="12.75">
      <c r="A353" t="str">
        <f>CONCATENATE("{'SheetId':'1deb9a6e-dc5a-4908-87cc-034ee9747e20'",",","'UId':'ba8351a8-8ef9-4c39-b20c-9e499c7302c4'",",'Col':",COLUMN(BCDanhMucDauTu_06029!F39),",'Row':",ROW(BCDanhMucDauTu_06029!F39),",","'ColDynamic':",COLUMN(BCDanhMucDauTu_06029!F33),",","'RowDynamic':",ROW(BCDanhMucDauTu_06029!F33),",","'Format':'numberic'",",'Value':'",SUBSTITUTE(BCDanhMucDauTu_06029!F39,"'","\'"),"','TargetCode':''}")</f>
        <v>{'SheetId':'1deb9a6e-dc5a-4908-87cc-034ee9747e20','UId':'ba8351a8-8ef9-4c39-b20c-9e499c7302c4','Col':6,'Row':39,'ColDynamic':6,'RowDynamic':33,'Format':'numberic','Value':' ','TargetCode':''}</v>
      </c>
    </row>
    <row r="354" ht="12.75">
      <c r="A354" t="str">
        <f>CONCATENATE("{'SheetId':'1deb9a6e-dc5a-4908-87cc-034ee9747e20'",",","'UId':'20aec549-2649-4108-8c50-4ff697541fea'",",'Col':",COLUMN(BCDanhMucDauTu_06029!G39),",'Row':",ROW(BCDanhMucDauTu_06029!G39),",","'ColDynamic':",COLUMN(BCDanhMucDauTu_06029!G33),",","'RowDynamic':",ROW(BCDanhMucDauTu_06029!G33),",","'Format':'numberic'",",'Value':'",SUBSTITUTE(BCDanhMucDauTu_06029!G39,"'","\'"),"','TargetCode':''}")</f>
        <v>{'SheetId':'1deb9a6e-dc5a-4908-87cc-034ee9747e20','UId':'20aec549-2649-4108-8c50-4ff697541fea','Col':7,'Row':39,'ColDynamic':7,'RowDynamic':33,'Format':'numberic','Value':' ','TargetCode':''}</v>
      </c>
    </row>
    <row r="355" ht="12.75">
      <c r="A355" t="str">
        <f>CONCATENATE("{'SheetId':'1deb9a6e-dc5a-4908-87cc-034ee9747e20'",",","'UId':'c94d94d7-01a6-4c24-95e6-4f83c62d0567'",",'Col':",COLUMN(BCDanhMucDauTu_06029!A41),",'Row':",ROW(BCDanhMucDauTu_06029!A41),",","'ColDynamic':",COLUMN(BCDanhMucDauTu_06029!A35),",","'RowDynamic':",ROW(BCDanhMucDauTu_06029!A35),",","'Format':'string'",",'Value':'",SUBSTITUTE(BCDanhMucDauTu_06029!A41,"'","\'"),"','TargetCode':''}")</f>
        <v>{'SheetId':'1deb9a6e-dc5a-4908-87cc-034ee9747e20','UId':'c94d94d7-01a6-4c24-95e6-4f83c62d0567','Col':1,'Row':41,'ColDynamic':1,'RowDynamic':35,'Format':'string','Value':' ','TargetCode':''}</v>
      </c>
    </row>
    <row r="356" ht="12.75">
      <c r="A356" t="str">
        <f>CONCATENATE("{'SheetId':'1deb9a6e-dc5a-4908-87cc-034ee9747e20'",",","'UId':'333b59bf-d7bf-4903-a769-681773c5c1d6'",",'Col':",COLUMN(BCDanhMucDauTu_06029!B41),",'Row':",ROW(BCDanhMucDauTu_06029!B41),",","'ColDynamic':",COLUMN(BCDanhMucDauTu_06029!B35),",","'RowDynamic':",ROW(BCDanhMucDauTu_06029!B35),",","'Format':'string'",",'Value':'",SUBSTITUTE(BCDanhMucDauTu_06029!B41,"'","\'"),"','TargetCode':''}")</f>
        <v>{'SheetId':'1deb9a6e-dc5a-4908-87cc-034ee9747e20','UId':'333b59bf-d7bf-4903-a769-681773c5c1d6','Col':2,'Row':41,'ColDynamic':2,'RowDynamic':35,'Format':'string','Value':'','TargetCode':''}</v>
      </c>
    </row>
    <row r="357" ht="12.75">
      <c r="A357" t="str">
        <f>CONCATENATE("{'SheetId':'1deb9a6e-dc5a-4908-87cc-034ee9747e20'",",","'UId':'70dcb08c-d0c0-43e8-87c7-cb83b1736902'",",'Col':",COLUMN(BCDanhMucDauTu_06029!C41),",'Row':",ROW(BCDanhMucDauTu_06029!C41),",","'ColDynamic':",COLUMN(BCDanhMucDauTu_06029!C35),",","'RowDynamic':",ROW(BCDanhMucDauTu_06029!C35),",","'Format':'string'",",'Value':'",SUBSTITUTE(BCDanhMucDauTu_06029!C41,"'","\'"),"','TargetCode':''}")</f>
        <v>{'SheetId':'1deb9a6e-dc5a-4908-87cc-034ee9747e20','UId':'70dcb08c-d0c0-43e8-87c7-cb83b1736902','Col':3,'Row':41,'ColDynamic':3,'RowDynamic':35,'Format':'string','Value':'','TargetCode':''}</v>
      </c>
    </row>
    <row r="358" ht="12.75">
      <c r="A358" t="str">
        <f>CONCATENATE("{'SheetId':'1deb9a6e-dc5a-4908-87cc-034ee9747e20'",",","'UId':'b98b0710-edbe-464f-91cc-a50943b92e53'",",'Col':",COLUMN(BCDanhMucDauTu_06029!D41),",'Row':",ROW(BCDanhMucDauTu_06029!D41),",","'ColDynamic':",COLUMN(BCDanhMucDauTu_06029!D35),",","'RowDynamic':",ROW(BCDanhMucDauTu_06029!D35),",","'Format':'numberic'",",'Value':'",SUBSTITUTE(BCDanhMucDauTu_06029!D41,"'","\'"),"','TargetCode':''}")</f>
        <v>{'SheetId':'1deb9a6e-dc5a-4908-87cc-034ee9747e20','UId':'b98b0710-edbe-464f-91cc-a50943b92e53','Col':4,'Row':41,'ColDynamic':4,'RowDynamic':35,'Format':'numberic','Value':' ','TargetCode':''}</v>
      </c>
    </row>
    <row r="359" ht="12.75">
      <c r="A359" t="str">
        <f>CONCATENATE("{'SheetId':'1deb9a6e-dc5a-4908-87cc-034ee9747e20'",",","'UId':'1e5e338d-e8d3-484c-a931-f154e681f9d1'",",'Col':",COLUMN(BCDanhMucDauTu_06029!E41),",'Row':",ROW(BCDanhMucDauTu_06029!E41),",","'ColDynamic':",COLUMN(BCDanhMucDauTu_06029!E35),",","'RowDynamic':",ROW(BCDanhMucDauTu_06029!E35),",","'Format':'numberic'",",'Value':'",SUBSTITUTE(BCDanhMucDauTu_06029!E41,"'","\'"),"','TargetCode':''}")</f>
        <v>{'SheetId':'1deb9a6e-dc5a-4908-87cc-034ee9747e20','UId':'1e5e338d-e8d3-484c-a931-f154e681f9d1','Col':5,'Row':41,'ColDynamic':5,'RowDynamic':35,'Format':'numberic','Value':' ','TargetCode':''}</v>
      </c>
    </row>
    <row r="360" ht="12.75">
      <c r="A360" t="str">
        <f>CONCATENATE("{'SheetId':'1deb9a6e-dc5a-4908-87cc-034ee9747e20'",",","'UId':'f0171a12-b46c-408e-9769-0674783f4494'",",'Col':",COLUMN(BCDanhMucDauTu_06029!F41),",'Row':",ROW(BCDanhMucDauTu_06029!F41),",","'ColDynamic':",COLUMN(BCDanhMucDauTu_06029!F35),",","'RowDynamic':",ROW(BCDanhMucDauTu_06029!F35),",","'Format':'numberic'",",'Value':'",SUBSTITUTE(BCDanhMucDauTu_06029!F41,"'","\'"),"','TargetCode':''}")</f>
        <v>{'SheetId':'1deb9a6e-dc5a-4908-87cc-034ee9747e20','UId':'f0171a12-b46c-408e-9769-0674783f4494','Col':6,'Row':41,'ColDynamic':6,'RowDynamic':35,'Format':'numberic','Value':' ','TargetCode':''}</v>
      </c>
    </row>
    <row r="361" ht="12.75">
      <c r="A361" t="str">
        <f>CONCATENATE("{'SheetId':'1deb9a6e-dc5a-4908-87cc-034ee9747e20'",",","'UId':'123dfcbf-9d8f-4865-9abd-67aef0fb2ded'",",'Col':",COLUMN(BCDanhMucDauTu_06029!G41),",'Row':",ROW(BCDanhMucDauTu_06029!G41),",","'ColDynamic':",COLUMN(BCDanhMucDauTu_06029!G35),",","'RowDynamic':",ROW(BCDanhMucDauTu_06029!G35),",","'Format':'numberic'",",'Value':'",SUBSTITUTE(BCDanhMucDauTu_06029!G41,"'","\'"),"','TargetCode':''}")</f>
        <v>{'SheetId':'1deb9a6e-dc5a-4908-87cc-034ee9747e20','UId':'123dfcbf-9d8f-4865-9abd-67aef0fb2ded','Col':7,'Row':41,'ColDynamic':7,'RowDynamic':35,'Format':'numberic','Value':' ','TargetCode':''}</v>
      </c>
    </row>
    <row r="362" ht="12.75">
      <c r="A362" t="str">
        <f>CONCATENATE("{'SheetId':'1deb9a6e-dc5a-4908-87cc-034ee9747e20'",",","'UId':'61c7d7e9-4c4a-4062-8012-4877345d4ca2'",",'Col':",COLUMN(BCDanhMucDauTu_06029!D42),",'Row':",ROW(BCDanhMucDauTu_06029!D42),",","'Format':'numberic'",",'Value':'",SUBSTITUTE(BCDanhMucDauTu_06029!D42,"'","\'"),"','TargetCode':''}")</f>
        <v>{'SheetId':'1deb9a6e-dc5a-4908-87cc-034ee9747e20','UId':'61c7d7e9-4c4a-4062-8012-4877345d4ca2','Col':4,'Row':42,'Format':'numberic','Value':' ','TargetCode':''}</v>
      </c>
    </row>
    <row r="363" ht="12.75">
      <c r="A363" t="str">
        <f>CONCATENATE("{'SheetId':'1deb9a6e-dc5a-4908-87cc-034ee9747e20'",",","'UId':'55eb1cfc-48db-45d7-badc-9126702dbaca'",",'Col':",COLUMN(BCDanhMucDauTu_06029!E42),",'Row':",ROW(BCDanhMucDauTu_06029!E42),",","'Format':'numberic'",",'Value':'",SUBSTITUTE(BCDanhMucDauTu_06029!E42,"'","\'"),"','TargetCode':''}")</f>
        <v>{'SheetId':'1deb9a6e-dc5a-4908-87cc-034ee9747e20','UId':'55eb1cfc-48db-45d7-badc-9126702dbaca','Col':5,'Row':42,'Format':'numberic','Value':' ','TargetCode':''}</v>
      </c>
    </row>
    <row r="364" ht="12.75">
      <c r="A364" t="str">
        <f>CONCATENATE("{'SheetId':'1deb9a6e-dc5a-4908-87cc-034ee9747e20'",",","'UId':'0b0a71cf-8b1c-4a88-a170-2b7251d20ffa'",",'Col':",COLUMN(BCDanhMucDauTu_06029!F42),",'Row':",ROW(BCDanhMucDauTu_06029!F42),",","'Format':'numberic'",",'Value':'",SUBSTITUTE(BCDanhMucDauTu_06029!F42,"'","\'"),"','TargetCode':''}")</f>
        <v>{'SheetId':'1deb9a6e-dc5a-4908-87cc-034ee9747e20','UId':'0b0a71cf-8b1c-4a88-a170-2b7251d20ffa','Col':6,'Row':42,'Format':'numberic','Value':'30107272607','TargetCode':''}</v>
      </c>
    </row>
    <row r="365" ht="12.75">
      <c r="A365" t="str">
        <f>CONCATENATE("{'SheetId':'1deb9a6e-dc5a-4908-87cc-034ee9747e20'",",","'UId':'3ec63538-3a98-477e-b957-0e4550274988'",",'Col':",COLUMN(BCDanhMucDauTu_06029!G42),",'Row':",ROW(BCDanhMucDauTu_06029!G42),",","'Format':'numberic'",",'Value':'",SUBSTITUTE(BCDanhMucDauTu_06029!G42,"'","\'"),"','TargetCode':''}")</f>
        <v>{'SheetId':'1deb9a6e-dc5a-4908-87cc-034ee9747e20','UId':'3ec63538-3a98-477e-b957-0e4550274988','Col':7,'Row':42,'Format':'numberic','Value':'0.192980421777456','TargetCode':''}</v>
      </c>
    </row>
    <row r="366" ht="12.75">
      <c r="A366" t="str">
        <f>CONCATENATE("{'SheetId':'1deb9a6e-dc5a-4908-87cc-034ee9747e20'",",","'UId':'b7e2b881-7166-4008-81ef-36fa655ba0d3'",",'Col':",COLUMN(BCDanhMucDauTu_06029!D43),",'Row':",ROW(BCDanhMucDauTu_06029!D43),",","'Format':'numberic'",",'Value':'",SUBSTITUTE(BCDanhMucDauTu_06029!D43,"'","\'"),"','TargetCode':''}")</f>
        <v>{'SheetId':'1deb9a6e-dc5a-4908-87cc-034ee9747e20','UId':'b7e2b881-7166-4008-81ef-36fa655ba0d3','Col':4,'Row':43,'Format':'numberic','Value':' ','TargetCode':''}</v>
      </c>
    </row>
    <row r="367" ht="12.75">
      <c r="A367" t="str">
        <f>CONCATENATE("{'SheetId':'1deb9a6e-dc5a-4908-87cc-034ee9747e20'",",","'UId':'b0198f8c-cffe-4d00-9816-22e0fa96124d'",",'Col':",COLUMN(BCDanhMucDauTu_06029!E43),",'Row':",ROW(BCDanhMucDauTu_06029!E43),",","'Format':'numberic'",",'Value':'",SUBSTITUTE(BCDanhMucDauTu_06029!E43,"'","\'"),"','TargetCode':''}")</f>
        <v>{'SheetId':'1deb9a6e-dc5a-4908-87cc-034ee9747e20','UId':'b0198f8c-cffe-4d00-9816-22e0fa96124d','Col':5,'Row':43,'Format':'numberic','Value':' ','TargetCode':''}</v>
      </c>
    </row>
    <row r="368" ht="12.75">
      <c r="A368" t="str">
        <f>CONCATENATE("{'SheetId':'1deb9a6e-dc5a-4908-87cc-034ee9747e20'",",","'UId':'2a23d1c5-766a-4746-bd88-93015d1e4053'",",'Col':",COLUMN(BCDanhMucDauTu_06029!F43),",'Row':",ROW(BCDanhMucDauTu_06029!F43),",","'Format':'numberic'",",'Value':'",SUBSTITUTE(BCDanhMucDauTu_06029!F43,"'","\'"),"','TargetCode':''}")</f>
        <v>{'SheetId':'1deb9a6e-dc5a-4908-87cc-034ee9747e20','UId':'2a23d1c5-766a-4746-bd88-93015d1e4053','Col':6,'Row':43,'Format':'numberic','Value':'156012057232','TargetCode':''}</v>
      </c>
    </row>
    <row r="369" ht="12.75">
      <c r="A369" t="str">
        <f>CONCATENATE("{'SheetId':'1deb9a6e-dc5a-4908-87cc-034ee9747e20'",",","'UId':'ca227d64-7ddf-4c5b-94c2-f07049f1a645'",",'Col':",COLUMN(BCDanhMucDauTu_06029!G43),",'Row':",ROW(BCDanhMucDauTu_06029!G43),",","'Format':'numberic'",",'Value':'",SUBSTITUTE(BCDanhMucDauTu_06029!G43,"'","\'"),"','TargetCode':''}")</f>
        <v>{'SheetId':'1deb9a6e-dc5a-4908-87cc-034ee9747e20','UId':'ca227d64-7ddf-4c5b-94c2-f07049f1a645','Col':7,'Row':43,'Format':'numberic','Value':'1','TargetCode':''}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{'SheetId':'eea37401-614e-480f-bf0c-66e62a21c940','UId':'8fe4c321-a5c4-4a50-a26e-af5571876426','Col':4,'Row':3,'Format':'numberic','Value':'0.00850050068313791','TargetCode':''}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{'SheetId':'eea37401-614e-480f-bf0c-66e62a21c940','UId':'e505df99-52a5-4046-b588-70e17a64bc04','Col':5,'Row':3,'Format':'numberic','Value':'0.00850048407340768','TargetCode':''}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{'SheetId':'eea37401-614e-480f-bf0c-66e62a21c940','UId':'906b49c2-3105-44f5-a32d-07590223a8f2','Col':4,'Row':4,'Format':'numberic','Value':'0.00211691195449284','TargetCode':''}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{'SheetId':'eea37401-614e-480f-bf0c-66e62a21c940','UId':'1292eb8e-a778-4ce5-ab53-509a4c8a9832','Col':5,'Row':4,'Format':'numberic','Value':'0.00196250074477175','TargetCode':''}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{'SheetId':'eea37401-614e-480f-bf0c-66e62a21c940','UId':'043b7f89-a817-4764-b06f-cc2a71ce03b0','Col':4,'Row':5,'Format':'numberic','Value':'0.00208884771574605','TargetCode':''}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{'SheetId':'eea37401-614e-480f-bf0c-66e62a21c940','UId':'99e0f9cc-8606-43f9-8ce6-a58dc892af79','Col':5,'Row':5,'Format':'numberic','Value':'0.002105964400361','TargetCode':''}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{'SheetId':'eea37401-614e-480f-bf0c-66e62a21c940','UId':'5a5a30c0-7249-46cc-a3d5-6518c7410f2b','Col':4,'Row':6,'Format':'numberic','Value':'0.000567709007096029','TargetCode':''}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{'SheetId':'eea37401-614e-480f-bf0c-66e62a21c940','UId':'b6bb9469-63ab-4fda-88bd-7b1865b669bf','Col':5,'Row':6,'Format':'numberic','Value':'0.000572353720673981','TargetCode':''}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{'SheetId':'eea37401-614e-480f-bf0c-66e62a21c940','UId':'2364cc6c-48ac-4fcc-8342-fb9e93c37eca','Col':4,'Row':7,'Format':'numberic','Value':'0','TargetCode':''}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{'SheetId':'eea37401-614e-480f-bf0c-66e62a21c940','UId':'846eb19c-92cf-4ff5-adb0-f49d54d07bf5','Col':5,'Row':7,'Format':'numberic','Value':'0','TargetCode':''}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{'SheetId':'eea37401-614e-480f-bf0c-66e62a21c940','UId':'8c0b0b85-5f8d-49d6-bad0-be36c3870562','Col':4,'Row':8,'Format':'numberic','Value':'0','TargetCode':''}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{'SheetId':'eea37401-614e-480f-bf0c-66e62a21c940','UId':'bb393f9e-a64c-46b1-a141-e32109975ac2','Col':5,'Row':8,'Format':'numberic','Value':'0','TargetCode':''}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{'SheetId':'eea37401-614e-480f-bf0c-66e62a21c940','UId':'e3f08122-3427-41af-b11b-1a46844a64fc','Col':4,'Row':9,'Format':'numberic','Value':'0.000911497185052821','TargetCode':''}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{'SheetId':'eea37401-614e-480f-bf0c-66e62a21c940','UId':'9e68654a-171d-4fbe-8c69-6a6d18753f97','Col':5,'Row':9,'Format':'numberic','Value':'0.000918966283793891','TargetCode':''}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{'SheetId':'eea37401-614e-480f-bf0c-66e62a21c940','UId':'01528f3a-d80f-403f-9e7e-01c54429c341','Col':4,'Row':10,'Format':'numberic','Value':'0.014442272218191','TargetCode':''}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{'SheetId':'eea37401-614e-480f-bf0c-66e62a21c940','UId':'2e9dd82c-3e13-4dfb-9508-7eb62f82b7a5','Col':5,'Row':10,'Format':'numberic','Value':'0.0141285468097032','TargetCode':''}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{'SheetId':'eea37401-614e-480f-bf0c-66e62a21c940','UId':'e04710a4-564b-4804-a3c9-8b96b736ccd0','Col':4,'Row':11,'Format':'numberic','Value':'1.62772357897705','TargetCode':''}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{'SheetId':'eea37401-614e-480f-bf0c-66e62a21c940','UId':'0421496e-49be-42f6-bd5e-4ff79e46d605','Col':5,'Row':11,'Format':'numberic','Value':'1.0751495814587','TargetCode':''}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{'SheetId':'eea37401-614e-480f-bf0c-66e62a21c940','UId':'759e81e7-6be1-448f-8880-c7fb179e0f97','Col':4,'Row':14,'Format':'numberic','Value':'132517710200','TargetCode':''}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{'SheetId':'eea37401-614e-480f-bf0c-66e62a21c940','UId':'d55f381c-544c-4c22-a6c9-f44d9ae2c1ab','Col':5,'Row':14,'Format':'numberic','Value':'131231943900','TargetCode':''}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{'SheetId':'eea37401-614e-480f-bf0c-66e62a21c940','UId':'5b9de7f0-70a7-42bf-94c8-d94c81c70e42','Col':4,'Row':15,'Format':'numberic','Value':'132517710200','TargetCode':''}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{'SheetId':'eea37401-614e-480f-bf0c-66e62a21c940','UId':'85d68133-b410-4986-a2ae-00da0ca256bd','Col':5,'Row':15,'Format':'numberic','Value':'131231943900','TargetCode':''}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{'SheetId':'eea37401-614e-480f-bf0c-66e62a21c940','UId':'31f6ac2c-5e3e-4a12-b200-cf5f834a027b','Col':4,'Row':16,'Format':'numberic','Value':'13251771.02','TargetCode':''}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{'SheetId':'eea37401-614e-480f-bf0c-66e62a21c940','UId':'e12c39c4-7956-414a-b632-d0af1c2ab599','Col':5,'Row':16,'Format':'numberic','Value':'13123194.39','TargetCode':''}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{'SheetId':'eea37401-614e-480f-bf0c-66e62a21c940','UId':'b08c24e4-4516-482b-a697-9d62ff87afcf','Col':4,'Row':17,'Format':'numberic','Value':'356546000','TargetCode':''}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{'SheetId':'eea37401-614e-480f-bf0c-66e62a21c940','UId':'a7ccfa80-7e7d-4308-b36d-abc719c80bf3','Col':5,'Row':17,'Format':'numberic','Value':'1285766300','TargetCode':''}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{'SheetId':'eea37401-614e-480f-bf0c-66e62a21c940','UId':'e8ec4ef9-08e4-4e39-8477-ae21a99e8959','Col':4,'Row':18,'Format':'numberic','Value':'132104.73','TargetCode':''}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{'SheetId':'eea37401-614e-480f-bf0c-66e62a21c940','UId':'dde8a5b2-e9c7-4f1b-a63c-0174479280ef','Col':5,'Row':18,'Format':'numberic','Value':'263147.27','TargetCode':''}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{'SheetId':'eea37401-614e-480f-bf0c-66e62a21c940','UId':'0e4c1db2-c20e-4d52-853c-271375cc313a','Col':4,'Row':19,'Format':'numberic','Value':'1321047300','TargetCode':''}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{'SheetId':'eea37401-614e-480f-bf0c-66e62a21c940','UId':'12f0bb36-f2e3-462a-b5c8-133ec8de4536','Col':5,'Row':19,'Format':'numberic','Value':'2631472700','TargetCode':''}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{'SheetId':'eea37401-614e-480f-bf0c-66e62a21c940','UId':'99c017fe-183e-4244-a2e8-3180fad52922','Col':4,'Row':20,'Format':'numberic','Value':'-96450.13','TargetCode':''}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{'SheetId':'eea37401-614e-480f-bf0c-66e62a21c940','UId':'b3b6a8fb-5b81-4dc7-b0e6-531f207f2848','Col':5,'Row':20,'Format':'numberic','Value':'-134570.64','TargetCode':''}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{'SheetId':'eea37401-614e-480f-bf0c-66e62a21c940','UId':'d7299fb4-5fbd-49ea-a765-7a162fd18f1e','Col':4,'Row':21,'Format':'numberic','Value':'-964501300','TargetCode':''}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{'SheetId':'eea37401-614e-480f-bf0c-66e62a21c940','UId':'15c659ac-ac36-4f95-b662-8fcd6067cf35','Col':5,'Row':21,'Format':'numberic','Value':'-1345706400','TargetCode':''}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{'SheetId':'eea37401-614e-480f-bf0c-66e62a21c940','UId':'232e2092-5dcd-464b-b1fe-07f27efe2d21','Col':4,'Row':22,'Format':'numberic','Value':'132874256200','TargetCode':''}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{'SheetId':'eea37401-614e-480f-bf0c-66e62a21c940','UId':'fa41f074-2315-4e28-81ff-52700c300177','Col':5,'Row':22,'Format':'numberic','Value':'132517710200','TargetCode':''}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{'SheetId':'eea37401-614e-480f-bf0c-66e62a21c940','UId':'d8289881-c7ab-468c-ad5d-bf473cb76780','Col':4,'Row':23,'Format':'numberic','Value':'132874256200','TargetCode':''}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{'SheetId':'eea37401-614e-480f-bf0c-66e62a21c940','UId':'994ed5e1-c943-4620-8991-d05a125691b0','Col':5,'Row':23,'Format':'numberic','Value':'132517710200','TargetCode':''}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{'SheetId':'eea37401-614e-480f-bf0c-66e62a21c940','UId':'7120d041-84df-4b71-aa97-9c53b5ab7f97','Col':4,'Row':24,'Format':'numberic','Value':'13287425.62','TargetCode':''}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{'SheetId':'eea37401-614e-480f-bf0c-66e62a21c940','UId':'ee5817e5-5c8c-481c-bd88-acd0b7e7eb64','Col':5,'Row':24,'Format':'numberic','Value':'13251771.02','TargetCode':''}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{'SheetId':'eea37401-614e-480f-bf0c-66e62a21c940','UId':'83b16c86-f622-444a-8fd4-b601d346c031','Col':4,'Row':25,'Format':'percentage','Value':'0.6035','TargetCode':''}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{'SheetId':'eea37401-614e-480f-bf0c-66e62a21c940','UId':'6080a665-802c-4b21-ade4-e67d42c38ace','Col':5,'Row':25,'Format':'percentage','Value':'0.60513','TargetCode':''}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{'SheetId':'eea37401-614e-480f-bf0c-66e62a21c940','UId':'dc7a563a-ad1d-4847-ad52-60ae8b13af41','Col':4,'Row':26,'Format':'percentage','Value':'0.9216','TargetCode':''}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{'SheetId':'eea37401-614e-480f-bf0c-66e62a21c940','UId':'c291a5ad-47fa-4a53-a5d4-2c97806fed49','Col':5,'Row':26,'Format':'percentage','Value':'0.9255','TargetCode':''}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{'SheetId':'eea37401-614e-480f-bf0c-66e62a21c940','UId':'71e817fa-136e-4e66-8e01-e228a752c25d','Col':4,'Row':27,'Format':'percentage','Value':'0.0026','TargetCode':''}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{'SheetId':'eea37401-614e-480f-bf0c-66e62a21c940','UId':'09a70799-3c67-42d0-9f37-8841480fa73f','Col':5,'Row':27,'Format':'percentage','Value':'0.0026','TargetCode':''}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{'SheetId':'eea37401-614e-480f-bf0c-66e62a21c940','UId':'19d7d32d-f72f-4744-9b80-66561ae1073a','Col':4,'Row':28,'Format':'numberic','Value':'2224','TargetCode':''}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{'SheetId':'eea37401-614e-480f-bf0c-66e62a21c940','UId':'2c2fe24e-69d3-4ae8-a8c8-c603f2a4a32c','Col':5,'Row':28,'Format':'numberic','Value':'2093','TargetCode':''}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{'SheetId':'eea37401-614e-480f-bf0c-66e62a21c940','UId':'507c37af-0901-43e1-8af6-f40112c246e3','Col':4,'Row':29,'Format':'numberic','Value':'11716','TargetCode':''}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{'SheetId':'eea37401-614e-480f-bf0c-66e62a21c940','UId':'bb1a5a18-9ac0-4a7c-9c34-d6fbecc14baf','Col':5,'Row':29,'Format':'numberic','Value':'11662.78','TargetCode':''}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62"/>
  <sheetViews>
    <sheetView zoomScalePageLayoutView="0" workbookViewId="0" topLeftCell="A44">
      <selection activeCell="D58" sqref="D58:F61"/>
    </sheetView>
  </sheetViews>
  <sheetFormatPr defaultColWidth="9.140625" defaultRowHeight="12.75"/>
  <cols>
    <col min="1" max="1" width="6.8515625" style="0" customWidth="1"/>
    <col min="2" max="2" width="41.7109375" style="0" customWidth="1"/>
    <col min="3" max="3" width="10.28125" style="0" customWidth="1"/>
    <col min="4" max="4" width="19.8515625" style="0" customWidth="1"/>
    <col min="5" max="5" width="24.28125" style="0" customWidth="1"/>
    <col min="6" max="6" width="18.8515625" style="0" customWidth="1"/>
  </cols>
  <sheetData>
    <row r="1" spans="1:6" ht="15" customHeight="1">
      <c r="A1" s="7" t="s">
        <v>6</v>
      </c>
      <c r="B1" s="7" t="s">
        <v>7</v>
      </c>
      <c r="C1" s="7" t="s">
        <v>55</v>
      </c>
      <c r="D1" s="7" t="s">
        <v>56</v>
      </c>
      <c r="E1" s="7" t="s">
        <v>57</v>
      </c>
      <c r="F1" s="7" t="s">
        <v>58</v>
      </c>
    </row>
    <row r="2" spans="1:6" ht="15" customHeight="1">
      <c r="A2" s="8" t="s">
        <v>59</v>
      </c>
      <c r="B2" s="8" t="s">
        <v>60</v>
      </c>
      <c r="C2" s="8" t="s">
        <v>61</v>
      </c>
      <c r="D2" s="8" t="s">
        <v>1</v>
      </c>
      <c r="E2" s="8" t="s">
        <v>1</v>
      </c>
      <c r="F2" s="8" t="s">
        <v>1</v>
      </c>
    </row>
    <row r="3" spans="1:6" ht="15" customHeight="1">
      <c r="A3" s="5" t="s">
        <v>62</v>
      </c>
      <c r="B3" s="5" t="s">
        <v>63</v>
      </c>
      <c r="C3" s="5" t="s">
        <v>64</v>
      </c>
      <c r="D3" s="5">
        <v>30107272607</v>
      </c>
      <c r="E3" s="5">
        <v>3581372285</v>
      </c>
      <c r="F3" s="13">
        <v>2.79542654644214</v>
      </c>
    </row>
    <row r="4" spans="1:6" ht="15" customHeight="1">
      <c r="A4" s="5" t="s">
        <v>1</v>
      </c>
      <c r="B4" s="5" t="s">
        <v>65</v>
      </c>
      <c r="C4" s="5" t="s">
        <v>66</v>
      </c>
      <c r="D4" s="5" t="s">
        <v>1</v>
      </c>
      <c r="E4" s="5" t="s">
        <v>1</v>
      </c>
      <c r="F4" s="5" t="s">
        <v>1</v>
      </c>
    </row>
    <row r="5" spans="1:6" ht="15" customHeight="1">
      <c r="A5" s="5" t="s">
        <v>67</v>
      </c>
      <c r="B5" s="5" t="s">
        <v>67</v>
      </c>
      <c r="C5" s="5" t="s">
        <v>67</v>
      </c>
      <c r="D5" s="5" t="s">
        <v>67</v>
      </c>
      <c r="E5" s="5" t="s">
        <v>67</v>
      </c>
      <c r="F5" s="5" t="s">
        <v>67</v>
      </c>
    </row>
    <row r="6" spans="1:6" ht="15" customHeight="1">
      <c r="A6" s="5" t="s">
        <v>1</v>
      </c>
      <c r="B6" s="5" t="s">
        <v>68</v>
      </c>
      <c r="C6" s="5" t="s">
        <v>69</v>
      </c>
      <c r="D6" s="5">
        <v>30107272607</v>
      </c>
      <c r="E6" s="5">
        <v>3581372285</v>
      </c>
      <c r="F6" s="13">
        <v>2.79542654644214</v>
      </c>
    </row>
    <row r="7" spans="1:6" ht="15" customHeight="1">
      <c r="A7" s="5" t="s">
        <v>67</v>
      </c>
      <c r="B7" s="5" t="s">
        <v>67</v>
      </c>
      <c r="C7" s="5" t="s">
        <v>67</v>
      </c>
      <c r="D7" s="5" t="s">
        <v>67</v>
      </c>
      <c r="E7" s="5" t="s">
        <v>67</v>
      </c>
      <c r="F7" s="5" t="s">
        <v>67</v>
      </c>
    </row>
    <row r="8" spans="1:6" ht="15" customHeight="1">
      <c r="A8" s="5" t="s">
        <v>70</v>
      </c>
      <c r="B8" s="5" t="s">
        <v>71</v>
      </c>
      <c r="C8" s="5" t="s">
        <v>72</v>
      </c>
      <c r="D8" s="5">
        <v>123408995879</v>
      </c>
      <c r="E8" s="5">
        <v>147579674132</v>
      </c>
      <c r="F8" s="13">
        <v>2.4425445190764026</v>
      </c>
    </row>
    <row r="9" spans="1:6" ht="15" customHeight="1">
      <c r="A9" s="5" t="s">
        <v>67</v>
      </c>
      <c r="B9" s="5" t="s">
        <v>336</v>
      </c>
      <c r="C9" s="5">
        <v>2205.1</v>
      </c>
      <c r="D9" s="5" t="s">
        <v>337</v>
      </c>
      <c r="E9" s="5" t="s">
        <v>337</v>
      </c>
      <c r="F9" s="5">
        <v>0</v>
      </c>
    </row>
    <row r="10" spans="1:6" ht="15" customHeight="1">
      <c r="A10" s="5"/>
      <c r="B10" s="5" t="s">
        <v>193</v>
      </c>
      <c r="C10" s="5">
        <v>2205.2</v>
      </c>
      <c r="D10" s="5">
        <v>74408995877</v>
      </c>
      <c r="E10" s="5">
        <v>78579674129</v>
      </c>
      <c r="F10" s="13">
        <v>2.9500963695643554</v>
      </c>
    </row>
    <row r="11" spans="1:6" ht="15" customHeight="1">
      <c r="A11" s="5"/>
      <c r="B11" s="5" t="s">
        <v>338</v>
      </c>
      <c r="C11" s="5">
        <v>2205.3</v>
      </c>
      <c r="D11" s="5">
        <v>49000000002</v>
      </c>
      <c r="E11" s="5">
        <v>69000000003</v>
      </c>
      <c r="F11" s="13">
        <v>1.9365902014268515</v>
      </c>
    </row>
    <row r="12" spans="1:6" ht="15" customHeight="1">
      <c r="A12" s="5"/>
      <c r="B12" s="10" t="s">
        <v>339</v>
      </c>
      <c r="C12" s="5">
        <v>2205.4</v>
      </c>
      <c r="D12" s="5" t="s">
        <v>1</v>
      </c>
      <c r="E12" s="5" t="s">
        <v>1</v>
      </c>
      <c r="F12" s="5" t="s">
        <v>1</v>
      </c>
    </row>
    <row r="13" spans="1:6" ht="15" customHeight="1">
      <c r="A13" s="5" t="s">
        <v>73</v>
      </c>
      <c r="B13" s="5" t="s">
        <v>74</v>
      </c>
      <c r="C13" s="5" t="s">
        <v>75</v>
      </c>
      <c r="D13" s="5"/>
      <c r="E13" s="5"/>
      <c r="F13" s="5"/>
    </row>
    <row r="14" spans="1:6" ht="15" customHeight="1">
      <c r="A14" s="5" t="s">
        <v>67</v>
      </c>
      <c r="B14" s="5" t="s">
        <v>67</v>
      </c>
      <c r="C14" s="5" t="s">
        <v>67</v>
      </c>
      <c r="D14" s="5" t="s">
        <v>67</v>
      </c>
      <c r="E14" s="5" t="s">
        <v>67</v>
      </c>
      <c r="F14" s="5" t="s">
        <v>67</v>
      </c>
    </row>
    <row r="15" spans="1:6" ht="15" customHeight="1">
      <c r="A15" s="5" t="s">
        <v>76</v>
      </c>
      <c r="B15" s="5" t="s">
        <v>77</v>
      </c>
      <c r="C15" s="5" t="s">
        <v>78</v>
      </c>
      <c r="D15" s="5">
        <v>1206922663</v>
      </c>
      <c r="E15" s="5">
        <v>2219361308</v>
      </c>
      <c r="F15" s="13">
        <v>2.0249402878233895</v>
      </c>
    </row>
    <row r="16" spans="1:6" ht="15" customHeight="1">
      <c r="A16" s="5" t="s">
        <v>67</v>
      </c>
      <c r="B16" s="5" t="s">
        <v>67</v>
      </c>
      <c r="C16" s="5" t="s">
        <v>67</v>
      </c>
      <c r="D16" s="5" t="s">
        <v>67</v>
      </c>
      <c r="E16" s="5" t="s">
        <v>67</v>
      </c>
      <c r="F16" s="5" t="s">
        <v>67</v>
      </c>
    </row>
    <row r="17" spans="1:6" ht="15" customHeight="1">
      <c r="A17" s="5"/>
      <c r="B17" s="5"/>
      <c r="C17" s="5"/>
      <c r="D17" s="5"/>
      <c r="E17" s="5"/>
      <c r="F17" s="5"/>
    </row>
    <row r="18" spans="1:6" ht="15" customHeight="1">
      <c r="A18" s="5" t="s">
        <v>79</v>
      </c>
      <c r="B18" s="5" t="s">
        <v>80</v>
      </c>
      <c r="C18" s="5" t="s">
        <v>81</v>
      </c>
      <c r="D18" s="5">
        <v>1288866083</v>
      </c>
      <c r="E18" s="5">
        <v>1527276687</v>
      </c>
      <c r="F18" s="13">
        <v>0.6563480131504539</v>
      </c>
    </row>
    <row r="19" spans="1:6" ht="15" customHeight="1">
      <c r="A19" s="5" t="s">
        <v>67</v>
      </c>
      <c r="B19" s="5" t="s">
        <v>67</v>
      </c>
      <c r="C19" s="5" t="s">
        <v>67</v>
      </c>
      <c r="D19" s="5" t="s">
        <v>67</v>
      </c>
      <c r="E19" s="5" t="s">
        <v>67</v>
      </c>
      <c r="F19" s="5" t="s">
        <v>67</v>
      </c>
    </row>
    <row r="20" spans="1:6" ht="15" customHeight="1">
      <c r="A20" s="5"/>
      <c r="B20" s="5"/>
      <c r="C20" s="5"/>
      <c r="D20" s="5"/>
      <c r="E20" s="5"/>
      <c r="F20" s="5"/>
    </row>
    <row r="21" spans="1:6" ht="15" customHeight="1">
      <c r="A21" s="5" t="s">
        <v>82</v>
      </c>
      <c r="B21" s="5" t="s">
        <v>83</v>
      </c>
      <c r="C21" s="5" t="s">
        <v>84</v>
      </c>
      <c r="D21" s="5"/>
      <c r="E21" s="5"/>
      <c r="F21" s="5"/>
    </row>
    <row r="22" spans="1:6" ht="15" customHeight="1">
      <c r="A22" s="5" t="s">
        <v>67</v>
      </c>
      <c r="B22" s="5" t="s">
        <v>67</v>
      </c>
      <c r="C22" s="5" t="s">
        <v>67</v>
      </c>
      <c r="D22" s="5" t="s">
        <v>67</v>
      </c>
      <c r="E22" s="5" t="s">
        <v>67</v>
      </c>
      <c r="F22" s="5" t="s">
        <v>67</v>
      </c>
    </row>
    <row r="23" spans="1:6" ht="15" customHeight="1">
      <c r="A23" s="5" t="s">
        <v>85</v>
      </c>
      <c r="B23" s="5" t="s">
        <v>86</v>
      </c>
      <c r="C23" s="5" t="s">
        <v>87</v>
      </c>
      <c r="D23" s="5" t="s">
        <v>1</v>
      </c>
      <c r="E23" s="5" t="s">
        <v>1</v>
      </c>
      <c r="F23" s="5" t="s">
        <v>1</v>
      </c>
    </row>
    <row r="24" spans="1:6" ht="15" customHeight="1">
      <c r="A24" s="5" t="s">
        <v>67</v>
      </c>
      <c r="B24" s="5" t="s">
        <v>67</v>
      </c>
      <c r="C24" s="5" t="s">
        <v>67</v>
      </c>
      <c r="D24" s="5" t="s">
        <v>67</v>
      </c>
      <c r="E24" s="5" t="s">
        <v>67</v>
      </c>
      <c r="F24" s="5" t="s">
        <v>67</v>
      </c>
    </row>
    <row r="25" spans="1:6" ht="15" customHeight="1">
      <c r="A25" s="5"/>
      <c r="B25" s="5"/>
      <c r="C25" s="5"/>
      <c r="D25" s="5" t="s">
        <v>1</v>
      </c>
      <c r="E25" s="5" t="s">
        <v>1</v>
      </c>
      <c r="F25" s="5" t="s">
        <v>1</v>
      </c>
    </row>
    <row r="26" spans="1:6" ht="15" customHeight="1">
      <c r="A26" s="5" t="s">
        <v>88</v>
      </c>
      <c r="B26" s="5" t="s">
        <v>89</v>
      </c>
      <c r="C26" s="5" t="s">
        <v>90</v>
      </c>
      <c r="D26" s="5" t="s">
        <v>1</v>
      </c>
      <c r="E26" s="5" t="s">
        <v>1</v>
      </c>
      <c r="F26" s="5" t="s">
        <v>1</v>
      </c>
    </row>
    <row r="27" spans="1:6" ht="15" customHeight="1">
      <c r="A27" s="5" t="s">
        <v>67</v>
      </c>
      <c r="B27" s="5" t="s">
        <v>67</v>
      </c>
      <c r="C27" s="5" t="s">
        <v>67</v>
      </c>
      <c r="D27" s="5" t="s">
        <v>67</v>
      </c>
      <c r="E27" s="5" t="s">
        <v>67</v>
      </c>
      <c r="F27" s="5" t="s">
        <v>67</v>
      </c>
    </row>
    <row r="28" spans="1:6" ht="15" customHeight="1">
      <c r="A28" s="5"/>
      <c r="B28" s="5"/>
      <c r="C28" s="5"/>
      <c r="D28" s="5"/>
      <c r="E28" s="5"/>
      <c r="F28" s="5"/>
    </row>
    <row r="29" spans="1:6" ht="15" customHeight="1">
      <c r="A29" s="5" t="s">
        <v>91</v>
      </c>
      <c r="B29" s="5" t="s">
        <v>92</v>
      </c>
      <c r="C29" s="5" t="s">
        <v>93</v>
      </c>
      <c r="D29" s="5" t="s">
        <v>1</v>
      </c>
      <c r="E29" s="5" t="s">
        <v>1</v>
      </c>
      <c r="F29" s="5" t="s">
        <v>1</v>
      </c>
    </row>
    <row r="30" spans="1:6" ht="15" customHeight="1">
      <c r="A30" s="5" t="s">
        <v>67</v>
      </c>
      <c r="B30" s="5" t="s">
        <v>67</v>
      </c>
      <c r="C30" s="5" t="s">
        <v>67</v>
      </c>
      <c r="D30" s="5" t="s">
        <v>67</v>
      </c>
      <c r="E30" s="5" t="s">
        <v>67</v>
      </c>
      <c r="F30" s="5" t="s">
        <v>67</v>
      </c>
    </row>
    <row r="31" spans="1:6" ht="15" customHeight="1">
      <c r="A31" s="5"/>
      <c r="B31" s="5"/>
      <c r="C31" s="5"/>
      <c r="D31" s="5"/>
      <c r="E31" s="5"/>
      <c r="F31" s="5"/>
    </row>
    <row r="32" spans="1:6" ht="15" customHeight="1">
      <c r="A32" s="5" t="s">
        <v>94</v>
      </c>
      <c r="B32" s="5" t="s">
        <v>95</v>
      </c>
      <c r="C32" s="5" t="s">
        <v>96</v>
      </c>
      <c r="D32" s="5">
        <v>156012057232</v>
      </c>
      <c r="E32" s="5">
        <v>154907684412</v>
      </c>
      <c r="F32" s="13">
        <v>2.443236093086898</v>
      </c>
    </row>
    <row r="33" spans="1:6" ht="15" customHeight="1">
      <c r="A33" s="8" t="s">
        <v>97</v>
      </c>
      <c r="B33" s="8" t="s">
        <v>98</v>
      </c>
      <c r="C33" s="8" t="s">
        <v>99</v>
      </c>
      <c r="D33" s="8" t="s">
        <v>1</v>
      </c>
      <c r="E33" s="8" t="s">
        <v>1</v>
      </c>
      <c r="F33" s="8" t="s">
        <v>1</v>
      </c>
    </row>
    <row r="34" spans="1:6" ht="15" customHeight="1">
      <c r="A34" s="5" t="s">
        <v>100</v>
      </c>
      <c r="B34" s="5" t="s">
        <v>101</v>
      </c>
      <c r="C34" s="5" t="s">
        <v>102</v>
      </c>
      <c r="D34" s="5"/>
      <c r="E34" s="5"/>
      <c r="F34" s="5"/>
    </row>
    <row r="35" spans="1:6" ht="15" customHeight="1">
      <c r="A35" s="5" t="s">
        <v>67</v>
      </c>
      <c r="B35" s="5" t="s">
        <v>67</v>
      </c>
      <c r="C35" s="5" t="s">
        <v>67</v>
      </c>
      <c r="D35" s="5" t="s">
        <v>67</v>
      </c>
      <c r="E35" s="5" t="s">
        <v>67</v>
      </c>
      <c r="F35" s="5" t="s">
        <v>67</v>
      </c>
    </row>
    <row r="36" spans="1:6" ht="15" customHeight="1">
      <c r="A36" s="5" t="s">
        <v>103</v>
      </c>
      <c r="B36" s="5" t="s">
        <v>104</v>
      </c>
      <c r="C36" s="5" t="s">
        <v>105</v>
      </c>
      <c r="D36" s="5" t="s">
        <v>1</v>
      </c>
      <c r="E36" s="5" t="s">
        <v>1</v>
      </c>
      <c r="F36" s="5" t="s">
        <v>1</v>
      </c>
    </row>
    <row r="37" spans="1:6" ht="15" customHeight="1">
      <c r="A37" s="5" t="s">
        <v>67</v>
      </c>
      <c r="B37" s="5" t="s">
        <v>67</v>
      </c>
      <c r="C37" s="5" t="s">
        <v>67</v>
      </c>
      <c r="D37" s="5" t="s">
        <v>67</v>
      </c>
      <c r="E37" s="5" t="s">
        <v>67</v>
      </c>
      <c r="F37" s="5" t="s">
        <v>67</v>
      </c>
    </row>
    <row r="38" spans="1:6" ht="15" customHeight="1">
      <c r="A38" s="5"/>
      <c r="B38" s="5"/>
      <c r="C38" s="5"/>
      <c r="D38" s="5" t="s">
        <v>1</v>
      </c>
      <c r="E38" s="5" t="s">
        <v>1</v>
      </c>
      <c r="F38" s="5" t="s">
        <v>1</v>
      </c>
    </row>
    <row r="39" spans="1:6" ht="15" customHeight="1">
      <c r="A39" s="5" t="s">
        <v>106</v>
      </c>
      <c r="B39" s="5" t="s">
        <v>107</v>
      </c>
      <c r="C39" s="5" t="s">
        <v>108</v>
      </c>
      <c r="D39" s="5">
        <v>336453553</v>
      </c>
      <c r="E39" s="5">
        <v>355138672</v>
      </c>
      <c r="F39" s="13">
        <v>0.7205183659123549</v>
      </c>
    </row>
    <row r="40" spans="1:6" ht="15" customHeight="1">
      <c r="A40" s="5" t="s">
        <v>67</v>
      </c>
      <c r="B40" s="5" t="s">
        <v>340</v>
      </c>
      <c r="C40" s="5" t="s">
        <v>341</v>
      </c>
      <c r="D40" s="5">
        <v>7611732</v>
      </c>
      <c r="E40" s="5">
        <v>2344515</v>
      </c>
      <c r="F40" s="13">
        <v>2.462284667856446</v>
      </c>
    </row>
    <row r="41" spans="1:6" ht="15" customHeight="1">
      <c r="A41" s="5"/>
      <c r="B41" s="5" t="s">
        <v>342</v>
      </c>
      <c r="C41" s="5" t="s">
        <v>343</v>
      </c>
      <c r="D41" s="5">
        <v>38747404</v>
      </c>
      <c r="E41" s="5">
        <v>38963087</v>
      </c>
      <c r="F41" s="13">
        <v>0.1794028905107894</v>
      </c>
    </row>
    <row r="42" spans="1:6" ht="15" customHeight="1">
      <c r="A42" s="5"/>
      <c r="B42" s="5" t="s">
        <v>344</v>
      </c>
      <c r="C42" s="5" t="s">
        <v>345</v>
      </c>
      <c r="D42" s="5"/>
      <c r="E42" s="5"/>
      <c r="F42" s="5"/>
    </row>
    <row r="43" spans="1:6" ht="15" customHeight="1">
      <c r="A43" s="5"/>
      <c r="B43" s="5" t="s">
        <v>346</v>
      </c>
      <c r="C43" s="5" t="s">
        <v>347</v>
      </c>
      <c r="D43" s="5">
        <v>12000000</v>
      </c>
      <c r="E43" s="5">
        <v>36000000</v>
      </c>
      <c r="F43" s="5">
        <v>1</v>
      </c>
    </row>
    <row r="44" spans="1:6" ht="15" customHeight="1">
      <c r="A44" s="5"/>
      <c r="B44" s="5" t="s">
        <v>348</v>
      </c>
      <c r="C44" s="5" t="s">
        <v>349</v>
      </c>
      <c r="D44" s="5">
        <v>8889229</v>
      </c>
      <c r="E44" s="5">
        <v>8209775</v>
      </c>
      <c r="F44" s="13">
        <v>1.024169265044698</v>
      </c>
    </row>
    <row r="45" spans="1:6" ht="15" customHeight="1">
      <c r="A45" s="5"/>
      <c r="B45" s="5" t="s">
        <v>350</v>
      </c>
      <c r="C45" s="5" t="s">
        <v>351</v>
      </c>
      <c r="D45" s="5">
        <v>1002697</v>
      </c>
      <c r="E45" s="5">
        <v>2430238</v>
      </c>
      <c r="F45" s="13">
        <v>0.34695746081881096</v>
      </c>
    </row>
    <row r="46" spans="1:6" ht="15" customHeight="1">
      <c r="A46" s="5"/>
      <c r="B46" s="5" t="s">
        <v>352</v>
      </c>
      <c r="C46" s="5" t="s">
        <v>353</v>
      </c>
      <c r="D46" s="5">
        <v>111910393</v>
      </c>
      <c r="E46" s="5">
        <v>111000600</v>
      </c>
      <c r="F46" s="13">
        <v>1.492864145117571</v>
      </c>
    </row>
    <row r="47" spans="1:6" ht="15" customHeight="1">
      <c r="A47" s="5"/>
      <c r="B47" s="5" t="s">
        <v>354</v>
      </c>
      <c r="C47" s="5" t="s">
        <v>355</v>
      </c>
      <c r="D47" s="5">
        <v>20141750</v>
      </c>
      <c r="E47" s="5">
        <v>20126630</v>
      </c>
      <c r="F47" s="13">
        <v>1.0054283923383829</v>
      </c>
    </row>
    <row r="48" spans="1:6" ht="15" customHeight="1">
      <c r="A48" s="5"/>
      <c r="B48" s="5" t="s">
        <v>356</v>
      </c>
      <c r="C48" s="5" t="s">
        <v>357</v>
      </c>
      <c r="D48" s="5">
        <v>5500000</v>
      </c>
      <c r="E48" s="5">
        <v>5500000</v>
      </c>
      <c r="F48" s="5">
        <v>1</v>
      </c>
    </row>
    <row r="49" spans="1:6" ht="15" customHeight="1">
      <c r="A49" s="5"/>
      <c r="B49" s="5" t="s">
        <v>358</v>
      </c>
      <c r="C49" s="5" t="s">
        <v>359</v>
      </c>
      <c r="D49" s="5">
        <v>16500000</v>
      </c>
      <c r="E49" s="5">
        <v>16500000</v>
      </c>
      <c r="F49" s="5">
        <v>1</v>
      </c>
    </row>
    <row r="50" spans="1:6" ht="15" customHeight="1">
      <c r="A50" s="5"/>
      <c r="B50" s="5" t="s">
        <v>360</v>
      </c>
      <c r="C50" s="5" t="s">
        <v>361</v>
      </c>
      <c r="D50" s="5">
        <v>11000000</v>
      </c>
      <c r="E50" s="5">
        <v>11000000</v>
      </c>
      <c r="F50" s="5">
        <v>1</v>
      </c>
    </row>
    <row r="51" spans="1:6" ht="15" customHeight="1">
      <c r="A51" s="5"/>
      <c r="B51" s="5" t="s">
        <v>362</v>
      </c>
      <c r="C51" s="5" t="s">
        <v>363</v>
      </c>
      <c r="D51" s="5">
        <v>95473976</v>
      </c>
      <c r="E51" s="5">
        <v>88000000</v>
      </c>
      <c r="F51" s="13">
        <v>1</v>
      </c>
    </row>
    <row r="52" spans="1:6" ht="15" customHeight="1">
      <c r="A52" s="5"/>
      <c r="B52" s="5" t="s">
        <v>364</v>
      </c>
      <c r="C52" s="5" t="s">
        <v>365</v>
      </c>
      <c r="D52" s="5">
        <v>428172</v>
      </c>
      <c r="E52" s="5"/>
      <c r="F52" s="13">
        <v>0.504139821408387</v>
      </c>
    </row>
    <row r="53" spans="1:6" ht="15" customHeight="1">
      <c r="A53" s="5"/>
      <c r="B53" s="5" t="s">
        <v>366</v>
      </c>
      <c r="C53" s="5" t="s">
        <v>367</v>
      </c>
      <c r="D53" s="5">
        <v>7248200</v>
      </c>
      <c r="E53" s="5">
        <v>15063827</v>
      </c>
      <c r="F53" s="5" t="s">
        <v>1</v>
      </c>
    </row>
    <row r="54" spans="1:6" ht="15" customHeight="1">
      <c r="A54" s="5"/>
      <c r="B54" s="5" t="s">
        <v>368</v>
      </c>
      <c r="C54" s="5" t="s">
        <v>369</v>
      </c>
      <c r="D54" s="5"/>
      <c r="E54" s="5"/>
      <c r="F54" s="5"/>
    </row>
    <row r="55" spans="1:6" ht="15" customHeight="1">
      <c r="A55" s="5"/>
      <c r="B55" s="5" t="s">
        <v>370</v>
      </c>
      <c r="C55" s="5" t="s">
        <v>371</v>
      </c>
      <c r="D55" s="5"/>
      <c r="E55" s="5"/>
      <c r="F55" s="5"/>
    </row>
    <row r="56" spans="1:6" ht="15" customHeight="1">
      <c r="A56" s="5"/>
      <c r="B56" s="5" t="s">
        <v>372</v>
      </c>
      <c r="C56" s="5" t="s">
        <v>373</v>
      </c>
      <c r="D56" s="5"/>
      <c r="E56" s="5"/>
      <c r="F56" s="5"/>
    </row>
    <row r="57" spans="1:6" ht="15" customHeight="1">
      <c r="A57" s="5"/>
      <c r="B57" s="5"/>
      <c r="C57" s="5"/>
      <c r="D57" s="5"/>
      <c r="E57" s="5"/>
      <c r="F57" s="5"/>
    </row>
    <row r="58" spans="1:6" ht="15" customHeight="1">
      <c r="A58" s="5" t="s">
        <v>109</v>
      </c>
      <c r="B58" s="5" t="s">
        <v>110</v>
      </c>
      <c r="C58" s="5" t="s">
        <v>111</v>
      </c>
      <c r="D58" s="5">
        <v>336453553</v>
      </c>
      <c r="E58" s="5">
        <v>355138672</v>
      </c>
      <c r="F58" s="13">
        <v>0.7205183659123549</v>
      </c>
    </row>
    <row r="59" spans="1:6" ht="15" customHeight="1">
      <c r="A59" s="5" t="s">
        <v>1</v>
      </c>
      <c r="B59" s="5" t="s">
        <v>112</v>
      </c>
      <c r="C59" s="5" t="s">
        <v>113</v>
      </c>
      <c r="D59" s="5">
        <v>155675603679</v>
      </c>
      <c r="E59" s="5">
        <v>154552545740</v>
      </c>
      <c r="F59" s="13">
        <v>2.4559268949247635</v>
      </c>
    </row>
    <row r="60" spans="1:6" ht="15" customHeight="1">
      <c r="A60" s="5" t="s">
        <v>1</v>
      </c>
      <c r="B60" s="5" t="s">
        <v>114</v>
      </c>
      <c r="C60" s="5" t="s">
        <v>115</v>
      </c>
      <c r="D60" s="5">
        <v>13287425.62</v>
      </c>
      <c r="E60" s="5">
        <v>13251771.02</v>
      </c>
      <c r="F60" s="13">
        <v>2.2952289862115722</v>
      </c>
    </row>
    <row r="61" spans="1:6" ht="15" customHeight="1">
      <c r="A61" s="5" t="s">
        <v>1</v>
      </c>
      <c r="B61" s="5" t="s">
        <v>116</v>
      </c>
      <c r="C61" s="5" t="s">
        <v>117</v>
      </c>
      <c r="D61" s="5">
        <v>11716</v>
      </c>
      <c r="E61" s="5">
        <v>11662.78</v>
      </c>
      <c r="F61" s="13">
        <v>1.070013945982379</v>
      </c>
    </row>
    <row r="62" spans="1:6" ht="15" customHeight="1">
      <c r="A62" s="9" t="s">
        <v>1</v>
      </c>
      <c r="B62" s="9" t="s">
        <v>1</v>
      </c>
      <c r="C62" s="9" t="s">
        <v>1</v>
      </c>
      <c r="D62" s="9" t="s">
        <v>1</v>
      </c>
      <c r="E62" s="9" t="s">
        <v>1</v>
      </c>
      <c r="F62" s="9" t="s">
        <v>1</v>
      </c>
    </row>
  </sheetData>
  <sheetProtection/>
  <printOptions/>
  <pageMargins left="0.75" right="0.75" top="1" bottom="1" header="0.5" footer="0.5"/>
  <pageSetup fitToHeight="1" fitToWidth="1" horizontalDpi="300" verticalDpi="300" orientation="portrait"/>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59"/>
  <sheetViews>
    <sheetView zoomScalePageLayoutView="0" workbookViewId="0" topLeftCell="A31">
      <selection activeCell="E38" sqref="E38"/>
    </sheetView>
  </sheetViews>
  <sheetFormatPr defaultColWidth="9.140625" defaultRowHeight="12.75"/>
  <cols>
    <col min="1" max="1" width="6.8515625" style="0" customWidth="1"/>
    <col min="2" max="2" width="60.28125" style="0" customWidth="1"/>
    <col min="3" max="3" width="13.00390625" style="0" customWidth="1"/>
    <col min="4" max="4" width="12.7109375" style="0" customWidth="1"/>
    <col min="5" max="5" width="13.7109375" style="0" customWidth="1"/>
    <col min="6" max="6" width="16.57421875" style="0" customWidth="1"/>
  </cols>
  <sheetData>
    <row r="1" spans="1:6" ht="15" customHeight="1">
      <c r="A1" s="7" t="s">
        <v>6</v>
      </c>
      <c r="B1" s="7" t="s">
        <v>118</v>
      </c>
      <c r="C1" s="7" t="s">
        <v>55</v>
      </c>
      <c r="D1" s="7" t="s">
        <v>56</v>
      </c>
      <c r="E1" s="7" t="s">
        <v>57</v>
      </c>
      <c r="F1" s="7" t="s">
        <v>119</v>
      </c>
    </row>
    <row r="2" spans="1:6" ht="15" customHeight="1">
      <c r="A2" s="8" t="s">
        <v>59</v>
      </c>
      <c r="B2" s="8" t="s">
        <v>120</v>
      </c>
      <c r="C2" s="8" t="s">
        <v>75</v>
      </c>
      <c r="D2" s="8">
        <v>1067484896</v>
      </c>
      <c r="E2" s="8">
        <v>1042262182</v>
      </c>
      <c r="F2" s="8">
        <v>1067484896</v>
      </c>
    </row>
    <row r="3" spans="1:6" ht="15" customHeight="1">
      <c r="A3" s="5" t="s">
        <v>9</v>
      </c>
      <c r="B3" s="5" t="s">
        <v>121</v>
      </c>
      <c r="C3" s="5" t="s">
        <v>122</v>
      </c>
      <c r="D3" s="5"/>
      <c r="E3" s="5"/>
      <c r="F3" s="5"/>
    </row>
    <row r="4" spans="1:6" ht="15" customHeight="1">
      <c r="A4" s="5" t="s">
        <v>67</v>
      </c>
      <c r="B4" s="5" t="s">
        <v>67</v>
      </c>
      <c r="C4" s="5" t="s">
        <v>67</v>
      </c>
      <c r="D4" s="5" t="s">
        <v>67</v>
      </c>
      <c r="E4" s="5" t="s">
        <v>67</v>
      </c>
      <c r="F4" s="5" t="s">
        <v>67</v>
      </c>
    </row>
    <row r="5" spans="1:6" ht="15" customHeight="1">
      <c r="A5" s="5" t="s">
        <v>12</v>
      </c>
      <c r="B5" s="5" t="s">
        <v>77</v>
      </c>
      <c r="C5" s="5" t="s">
        <v>84</v>
      </c>
      <c r="D5" s="5">
        <v>715974817</v>
      </c>
      <c r="E5" s="5">
        <v>638718242</v>
      </c>
      <c r="F5" s="5">
        <v>715974817</v>
      </c>
    </row>
    <row r="6" spans="1:6" ht="15" customHeight="1">
      <c r="A6" s="5" t="s">
        <v>67</v>
      </c>
      <c r="B6" s="5" t="s">
        <v>67</v>
      </c>
      <c r="C6" s="5" t="s">
        <v>67</v>
      </c>
      <c r="D6" s="5" t="s">
        <v>67</v>
      </c>
      <c r="E6" s="5" t="s">
        <v>67</v>
      </c>
      <c r="F6" s="5" t="s">
        <v>67</v>
      </c>
    </row>
    <row r="7" spans="1:6" ht="15" customHeight="1">
      <c r="A7" s="5" t="s">
        <v>15</v>
      </c>
      <c r="B7" s="5" t="s">
        <v>123</v>
      </c>
      <c r="C7" s="5" t="s">
        <v>102</v>
      </c>
      <c r="D7" s="5">
        <v>351510079</v>
      </c>
      <c r="E7" s="5">
        <v>403543940</v>
      </c>
      <c r="F7" s="5">
        <v>351510079</v>
      </c>
    </row>
    <row r="8" spans="1:6" ht="15" customHeight="1">
      <c r="A8" s="5" t="s">
        <v>67</v>
      </c>
      <c r="B8" s="5" t="s">
        <v>67</v>
      </c>
      <c r="C8" s="5" t="s">
        <v>67</v>
      </c>
      <c r="D8" s="5" t="s">
        <v>67</v>
      </c>
      <c r="E8" s="5" t="s">
        <v>67</v>
      </c>
      <c r="F8" s="5" t="s">
        <v>67</v>
      </c>
    </row>
    <row r="9" spans="1:6" ht="15" customHeight="1">
      <c r="A9" s="5" t="s">
        <v>18</v>
      </c>
      <c r="B9" s="5" t="s">
        <v>124</v>
      </c>
      <c r="C9" s="5" t="s">
        <v>122</v>
      </c>
      <c r="D9" s="5" t="s">
        <v>1</v>
      </c>
      <c r="E9" s="5" t="s">
        <v>1</v>
      </c>
      <c r="F9" s="5" t="s">
        <v>1</v>
      </c>
    </row>
    <row r="10" spans="1:6" ht="15" customHeight="1">
      <c r="A10" s="5" t="s">
        <v>67</v>
      </c>
      <c r="B10" s="5" t="s">
        <v>67</v>
      </c>
      <c r="C10" s="5" t="s">
        <v>67</v>
      </c>
      <c r="D10" s="5" t="s">
        <v>67</v>
      </c>
      <c r="E10" s="5" t="s">
        <v>67</v>
      </c>
      <c r="F10" s="5" t="s">
        <v>67</v>
      </c>
    </row>
    <row r="11" spans="1:6" ht="15" customHeight="1">
      <c r="A11" s="8" t="s">
        <v>97</v>
      </c>
      <c r="B11" s="8" t="s">
        <v>125</v>
      </c>
      <c r="C11" s="8" t="s">
        <v>126</v>
      </c>
      <c r="D11" s="8">
        <v>190134725</v>
      </c>
      <c r="E11" s="8">
        <v>184492690</v>
      </c>
      <c r="F11" s="8">
        <v>190134725</v>
      </c>
    </row>
    <row r="12" spans="1:6" ht="15" customHeight="1">
      <c r="A12" s="5" t="s">
        <v>9</v>
      </c>
      <c r="B12" s="5" t="s">
        <v>127</v>
      </c>
      <c r="C12" s="5" t="s">
        <v>128</v>
      </c>
      <c r="D12" s="5">
        <v>111910393</v>
      </c>
      <c r="E12" s="5">
        <v>111000600</v>
      </c>
      <c r="F12" s="5">
        <v>111910393</v>
      </c>
    </row>
    <row r="13" spans="1:6" ht="15" customHeight="1">
      <c r="A13" s="5" t="s">
        <v>67</v>
      </c>
      <c r="B13" s="5" t="s">
        <v>67</v>
      </c>
      <c r="C13" s="5" t="s">
        <v>67</v>
      </c>
      <c r="D13" s="5" t="s">
        <v>67</v>
      </c>
      <c r="E13" s="5" t="s">
        <v>67</v>
      </c>
      <c r="F13" s="5" t="s">
        <v>67</v>
      </c>
    </row>
    <row r="14" spans="1:6" ht="15" customHeight="1">
      <c r="A14" s="5" t="s">
        <v>12</v>
      </c>
      <c r="B14" s="5" t="s">
        <v>129</v>
      </c>
      <c r="C14" s="5" t="s">
        <v>130</v>
      </c>
      <c r="D14" s="5">
        <v>27869470</v>
      </c>
      <c r="E14" s="5">
        <v>25626630</v>
      </c>
      <c r="F14" s="5">
        <v>27869470</v>
      </c>
    </row>
    <row r="15" spans="1:6" ht="15" customHeight="1">
      <c r="A15" s="5" t="s">
        <v>67</v>
      </c>
      <c r="B15" s="5" t="s">
        <v>374</v>
      </c>
      <c r="C15" s="5">
        <v>2226.1</v>
      </c>
      <c r="D15" s="5">
        <v>20000000</v>
      </c>
      <c r="E15" s="5">
        <v>20000000</v>
      </c>
      <c r="F15" s="5">
        <v>20000000</v>
      </c>
    </row>
    <row r="16" spans="1:6" ht="15" customHeight="1">
      <c r="A16" s="5"/>
      <c r="B16" s="10" t="s">
        <v>410</v>
      </c>
      <c r="C16" s="5">
        <v>2226.2</v>
      </c>
      <c r="D16" s="5">
        <v>2227720</v>
      </c>
      <c r="E16" s="5"/>
      <c r="F16" s="5">
        <v>2227720</v>
      </c>
    </row>
    <row r="17" spans="1:6" ht="15" customHeight="1">
      <c r="A17" s="5"/>
      <c r="B17" s="10" t="s">
        <v>375</v>
      </c>
      <c r="C17" s="5">
        <v>2226.3</v>
      </c>
      <c r="D17" s="5">
        <v>141750</v>
      </c>
      <c r="E17" s="5">
        <v>126630</v>
      </c>
      <c r="F17" s="5">
        <v>141750</v>
      </c>
    </row>
    <row r="18" spans="1:6" ht="15" customHeight="1">
      <c r="A18" s="5"/>
      <c r="B18" s="5" t="s">
        <v>376</v>
      </c>
      <c r="C18" s="5">
        <v>2226.4</v>
      </c>
      <c r="D18" s="5">
        <v>5500000</v>
      </c>
      <c r="E18" s="5">
        <v>5500000</v>
      </c>
      <c r="F18" s="5">
        <v>5500000</v>
      </c>
    </row>
    <row r="19" spans="1:6" ht="15" customHeight="1">
      <c r="A19" s="5"/>
      <c r="B19" s="5"/>
      <c r="C19" s="5"/>
      <c r="D19" s="5"/>
      <c r="E19" s="5"/>
      <c r="F19" s="5"/>
    </row>
    <row r="20" spans="1:6" ht="15" customHeight="1">
      <c r="A20" s="5" t="s">
        <v>15</v>
      </c>
      <c r="B20" s="5" t="s">
        <v>131</v>
      </c>
      <c r="C20" s="5" t="s">
        <v>132</v>
      </c>
      <c r="D20" s="5">
        <v>27500000</v>
      </c>
      <c r="E20" s="5">
        <v>27500000</v>
      </c>
      <c r="F20" s="5">
        <v>27500000</v>
      </c>
    </row>
    <row r="21" spans="1:6" ht="15" customHeight="1">
      <c r="A21" s="5" t="s">
        <v>67</v>
      </c>
      <c r="B21" s="5" t="s">
        <v>377</v>
      </c>
      <c r="C21" s="5" t="s">
        <v>378</v>
      </c>
      <c r="D21" s="5">
        <v>16500000</v>
      </c>
      <c r="E21" s="5">
        <v>16500000</v>
      </c>
      <c r="F21" s="5">
        <v>16500000</v>
      </c>
    </row>
    <row r="22" spans="1:6" ht="15" customHeight="1">
      <c r="A22" s="5"/>
      <c r="B22" s="5" t="s">
        <v>379</v>
      </c>
      <c r="C22" s="5" t="s">
        <v>380</v>
      </c>
      <c r="D22" s="5">
        <v>11000000</v>
      </c>
      <c r="E22" s="5">
        <v>11000000</v>
      </c>
      <c r="F22" s="5">
        <v>11000000</v>
      </c>
    </row>
    <row r="23" spans="1:6" ht="15" customHeight="1">
      <c r="A23" s="5"/>
      <c r="B23" s="5"/>
      <c r="C23" s="5"/>
      <c r="D23" s="5"/>
      <c r="E23" s="5"/>
      <c r="F23" s="5"/>
    </row>
    <row r="24" spans="1:6" ht="15" customHeight="1">
      <c r="A24" s="5" t="s">
        <v>18</v>
      </c>
      <c r="B24" s="5" t="s">
        <v>133</v>
      </c>
      <c r="C24" s="5" t="s">
        <v>134</v>
      </c>
      <c r="D24" s="5"/>
      <c r="E24" s="5"/>
      <c r="F24" s="5"/>
    </row>
    <row r="25" spans="1:6" ht="15" customHeight="1">
      <c r="A25" s="5" t="s">
        <v>67</v>
      </c>
      <c r="B25" s="5" t="s">
        <v>67</v>
      </c>
      <c r="C25" s="5" t="s">
        <v>67</v>
      </c>
      <c r="D25" s="5" t="s">
        <v>67</v>
      </c>
      <c r="E25" s="5" t="s">
        <v>67</v>
      </c>
      <c r="F25" s="5" t="s">
        <v>67</v>
      </c>
    </row>
    <row r="26" spans="1:6" ht="15" customHeight="1">
      <c r="A26" s="5" t="s">
        <v>21</v>
      </c>
      <c r="B26" s="5" t="s">
        <v>135</v>
      </c>
      <c r="C26" s="5" t="s">
        <v>136</v>
      </c>
      <c r="D26" s="5"/>
      <c r="E26" s="5"/>
      <c r="F26" s="5"/>
    </row>
    <row r="27" spans="1:6" ht="15" customHeight="1">
      <c r="A27" s="5" t="s">
        <v>67</v>
      </c>
      <c r="B27" s="5" t="s">
        <v>67</v>
      </c>
      <c r="C27" s="5" t="s">
        <v>67</v>
      </c>
      <c r="D27" s="5" t="s">
        <v>67</v>
      </c>
      <c r="E27" s="5" t="s">
        <v>67</v>
      </c>
      <c r="F27" s="5" t="s">
        <v>67</v>
      </c>
    </row>
    <row r="28" spans="1:6" ht="15" customHeight="1">
      <c r="A28" s="5" t="s">
        <v>24</v>
      </c>
      <c r="B28" s="5" t="s">
        <v>137</v>
      </c>
      <c r="C28" s="5" t="s">
        <v>138</v>
      </c>
      <c r="D28" s="5">
        <v>7473976</v>
      </c>
      <c r="E28" s="5">
        <v>7473881</v>
      </c>
      <c r="F28" s="5">
        <v>7473976</v>
      </c>
    </row>
    <row r="29" spans="1:6" ht="15" customHeight="1">
      <c r="A29" s="5" t="s">
        <v>67</v>
      </c>
      <c r="B29" s="5" t="s">
        <v>67</v>
      </c>
      <c r="C29" s="5" t="s">
        <v>67</v>
      </c>
      <c r="D29" s="5" t="s">
        <v>67</v>
      </c>
      <c r="E29" s="5" t="s">
        <v>67</v>
      </c>
      <c r="F29" s="5" t="s">
        <v>67</v>
      </c>
    </row>
    <row r="30" spans="1:6" ht="15" customHeight="1">
      <c r="A30" s="5" t="s">
        <v>27</v>
      </c>
      <c r="B30" s="5" t="s">
        <v>139</v>
      </c>
      <c r="C30" s="5" t="s">
        <v>140</v>
      </c>
      <c r="D30" s="10">
        <v>12000000</v>
      </c>
      <c r="E30" s="10">
        <v>12000000</v>
      </c>
      <c r="F30" s="10">
        <v>12000000</v>
      </c>
    </row>
    <row r="31" spans="1:6" ht="15" customHeight="1">
      <c r="A31" s="5" t="s">
        <v>67</v>
      </c>
      <c r="B31" s="5" t="s">
        <v>67</v>
      </c>
      <c r="C31" s="5" t="s">
        <v>67</v>
      </c>
      <c r="D31" s="5" t="s">
        <v>67</v>
      </c>
      <c r="E31" s="5" t="s">
        <v>67</v>
      </c>
      <c r="F31" s="5" t="s">
        <v>67</v>
      </c>
    </row>
    <row r="32" spans="1:6" ht="15" customHeight="1">
      <c r="A32" s="5"/>
      <c r="B32" s="5"/>
      <c r="C32" s="5"/>
      <c r="D32" s="5"/>
      <c r="E32" s="5"/>
      <c r="F32" s="5"/>
    </row>
    <row r="33" spans="1:6" ht="15" customHeight="1">
      <c r="A33" s="5" t="s">
        <v>30</v>
      </c>
      <c r="B33" s="5" t="s">
        <v>141</v>
      </c>
      <c r="C33" s="5" t="s">
        <v>142</v>
      </c>
      <c r="D33" s="5">
        <v>679454</v>
      </c>
      <c r="E33" s="5">
        <v>679434</v>
      </c>
      <c r="F33" s="5">
        <v>679454</v>
      </c>
    </row>
    <row r="34" spans="1:6" ht="15" customHeight="1">
      <c r="A34" s="5" t="s">
        <v>67</v>
      </c>
      <c r="B34" s="5" t="s">
        <v>67</v>
      </c>
      <c r="C34" s="5" t="s">
        <v>67</v>
      </c>
      <c r="D34" s="5" t="s">
        <v>67</v>
      </c>
      <c r="E34" s="5" t="s">
        <v>67</v>
      </c>
      <c r="F34" s="5" t="s">
        <v>67</v>
      </c>
    </row>
    <row r="35" spans="1:6" ht="15" customHeight="1">
      <c r="A35" s="5"/>
      <c r="B35" s="5"/>
      <c r="C35" s="5"/>
      <c r="D35" s="5"/>
      <c r="E35" s="5"/>
      <c r="F35" s="5"/>
    </row>
    <row r="36" spans="1:6" ht="15" customHeight="1">
      <c r="A36" s="5" t="s">
        <v>33</v>
      </c>
      <c r="B36" s="5" t="s">
        <v>143</v>
      </c>
      <c r="C36" s="5" t="s">
        <v>134</v>
      </c>
      <c r="D36" s="5">
        <v>2227720</v>
      </c>
      <c r="E36" s="5"/>
      <c r="F36" s="5">
        <v>2227720</v>
      </c>
    </row>
    <row r="37" spans="1:6" ht="15" customHeight="1">
      <c r="A37" s="5" t="s">
        <v>67</v>
      </c>
      <c r="B37" s="5" t="s">
        <v>381</v>
      </c>
      <c r="C37" s="5">
        <v>2231.1</v>
      </c>
      <c r="D37" s="5"/>
      <c r="E37" s="5"/>
      <c r="F37" s="5"/>
    </row>
    <row r="38" spans="1:6" ht="15" customHeight="1">
      <c r="A38" s="5"/>
      <c r="B38" s="5" t="s">
        <v>382</v>
      </c>
      <c r="C38" s="5">
        <v>2231.2</v>
      </c>
      <c r="D38" s="5">
        <v>2227720</v>
      </c>
      <c r="E38" s="5"/>
      <c r="F38" s="5">
        <v>2227720</v>
      </c>
    </row>
    <row r="39" spans="1:6" ht="15" customHeight="1">
      <c r="A39" s="5"/>
      <c r="B39" s="5" t="s">
        <v>383</v>
      </c>
      <c r="C39" s="5">
        <v>2231.3</v>
      </c>
      <c r="D39" s="5"/>
      <c r="E39" s="5"/>
      <c r="F39" s="5"/>
    </row>
    <row r="40" spans="1:6" ht="15" customHeight="1">
      <c r="A40" s="5"/>
      <c r="B40" s="5"/>
      <c r="C40" s="5"/>
      <c r="D40" s="5"/>
      <c r="E40" s="5"/>
      <c r="F40" s="5"/>
    </row>
    <row r="41" spans="1:6" ht="15" customHeight="1">
      <c r="A41" s="5" t="s">
        <v>36</v>
      </c>
      <c r="B41" s="5" t="s">
        <v>144</v>
      </c>
      <c r="C41" s="5" t="s">
        <v>136</v>
      </c>
      <c r="D41" s="5">
        <v>473712</v>
      </c>
      <c r="E41" s="5">
        <v>212145</v>
      </c>
      <c r="F41" s="5">
        <v>473712</v>
      </c>
    </row>
    <row r="42" spans="1:6" ht="15" customHeight="1">
      <c r="A42" s="5" t="s">
        <v>67</v>
      </c>
      <c r="B42" s="5" t="s">
        <v>384</v>
      </c>
      <c r="C42" s="5" t="s">
        <v>385</v>
      </c>
      <c r="D42" s="5">
        <v>428172</v>
      </c>
      <c r="E42" s="5"/>
      <c r="F42" s="5">
        <v>428172</v>
      </c>
    </row>
    <row r="43" spans="1:6" ht="15" customHeight="1">
      <c r="A43" s="5"/>
      <c r="B43" s="5" t="s">
        <v>386</v>
      </c>
      <c r="C43" s="5" t="s">
        <v>387</v>
      </c>
      <c r="D43" s="5">
        <v>45540</v>
      </c>
      <c r="E43" s="5">
        <v>212145</v>
      </c>
      <c r="F43" s="5">
        <v>45540</v>
      </c>
    </row>
    <row r="44" spans="1:6" ht="15" customHeight="1">
      <c r="A44" s="5"/>
      <c r="B44" s="5" t="s">
        <v>388</v>
      </c>
      <c r="C44" s="5" t="s">
        <v>389</v>
      </c>
      <c r="D44" s="5"/>
      <c r="E44" s="5"/>
      <c r="F44" s="5"/>
    </row>
    <row r="45" spans="1:6" ht="15" customHeight="1">
      <c r="A45" s="5"/>
      <c r="B45" s="5"/>
      <c r="C45" s="5"/>
      <c r="D45" s="5"/>
      <c r="E45" s="5"/>
      <c r="F45" s="5"/>
    </row>
    <row r="46" spans="1:6" ht="15" customHeight="1">
      <c r="A46" s="8" t="s">
        <v>145</v>
      </c>
      <c r="B46" s="8" t="s">
        <v>146</v>
      </c>
      <c r="C46" s="8" t="s">
        <v>147</v>
      </c>
      <c r="D46" s="8">
        <v>877350171</v>
      </c>
      <c r="E46" s="8">
        <v>857769492</v>
      </c>
      <c r="F46" s="8">
        <v>877350171</v>
      </c>
    </row>
    <row r="47" spans="1:6" ht="15" customHeight="1">
      <c r="A47" s="8" t="s">
        <v>148</v>
      </c>
      <c r="B47" s="8" t="s">
        <v>149</v>
      </c>
      <c r="C47" s="8" t="s">
        <v>150</v>
      </c>
      <c r="D47" s="8">
        <v>-170617979</v>
      </c>
      <c r="E47" s="8">
        <v>-171923177</v>
      </c>
      <c r="F47" s="8">
        <v>-170617979</v>
      </c>
    </row>
    <row r="48" spans="1:6" ht="15" customHeight="1">
      <c r="A48" s="5" t="s">
        <v>9</v>
      </c>
      <c r="B48" s="5" t="s">
        <v>151</v>
      </c>
      <c r="C48" s="5" t="s">
        <v>152</v>
      </c>
      <c r="D48" s="5">
        <v>106848</v>
      </c>
      <c r="E48" s="5">
        <v>-2565616</v>
      </c>
      <c r="F48" s="5">
        <v>106848</v>
      </c>
    </row>
    <row r="49" spans="1:6" ht="15" customHeight="1">
      <c r="A49" s="5" t="s">
        <v>12</v>
      </c>
      <c r="B49" s="5" t="s">
        <v>153</v>
      </c>
      <c r="C49" s="5" t="s">
        <v>154</v>
      </c>
      <c r="D49" s="5">
        <v>-170724827</v>
      </c>
      <c r="E49" s="5">
        <v>-169357561</v>
      </c>
      <c r="F49" s="5">
        <v>-170724827</v>
      </c>
    </row>
    <row r="50" spans="1:6" ht="15" customHeight="1">
      <c r="A50" s="8" t="s">
        <v>155</v>
      </c>
      <c r="B50" s="8" t="s">
        <v>156</v>
      </c>
      <c r="C50" s="8" t="s">
        <v>157</v>
      </c>
      <c r="D50" s="8">
        <v>706732192</v>
      </c>
      <c r="E50" s="8">
        <v>685846315</v>
      </c>
      <c r="F50" s="8">
        <v>706732192</v>
      </c>
    </row>
    <row r="51" spans="1:6" ht="15" customHeight="1">
      <c r="A51" s="8" t="s">
        <v>158</v>
      </c>
      <c r="B51" s="8" t="s">
        <v>159</v>
      </c>
      <c r="C51" s="8" t="s">
        <v>160</v>
      </c>
      <c r="D51" s="8">
        <v>154552545740</v>
      </c>
      <c r="E51" s="8">
        <v>152375164353</v>
      </c>
      <c r="F51" s="8">
        <v>154552545740</v>
      </c>
    </row>
    <row r="52" spans="1:6" ht="15" customHeight="1">
      <c r="A52" s="8" t="s">
        <v>161</v>
      </c>
      <c r="B52" s="8" t="s">
        <v>162</v>
      </c>
      <c r="C52" s="8" t="s">
        <v>163</v>
      </c>
      <c r="D52" s="8">
        <v>1123057939</v>
      </c>
      <c r="E52" s="8">
        <v>2177381387</v>
      </c>
      <c r="F52" s="8">
        <v>1123057939</v>
      </c>
    </row>
    <row r="53" spans="1:6" ht="15" customHeight="1">
      <c r="A53" s="5" t="s">
        <v>9</v>
      </c>
      <c r="B53" s="5" t="s">
        <v>164</v>
      </c>
      <c r="C53" s="5" t="s">
        <v>165</v>
      </c>
      <c r="D53" s="5">
        <v>706732192</v>
      </c>
      <c r="E53" s="5">
        <v>685846315</v>
      </c>
      <c r="F53" s="5">
        <v>706732192</v>
      </c>
    </row>
    <row r="54" spans="1:6" ht="15" customHeight="1">
      <c r="A54" s="5" t="s">
        <v>12</v>
      </c>
      <c r="B54" s="5" t="s">
        <v>166</v>
      </c>
      <c r="C54" s="5" t="s">
        <v>167</v>
      </c>
      <c r="D54" s="5"/>
      <c r="E54" s="5"/>
      <c r="F54" s="5"/>
    </row>
    <row r="55" spans="1:6" ht="15" customHeight="1">
      <c r="A55" s="5" t="s">
        <v>15</v>
      </c>
      <c r="B55" s="5" t="s">
        <v>168</v>
      </c>
      <c r="C55" s="5" t="s">
        <v>169</v>
      </c>
      <c r="D55" s="5">
        <v>416325747</v>
      </c>
      <c r="E55" s="5">
        <v>1491535072</v>
      </c>
      <c r="F55" s="5">
        <v>416325747</v>
      </c>
    </row>
    <row r="56" spans="1:6" ht="15" customHeight="1">
      <c r="A56" s="8" t="s">
        <v>170</v>
      </c>
      <c r="B56" s="8" t="s">
        <v>171</v>
      </c>
      <c r="C56" s="8" t="s">
        <v>172</v>
      </c>
      <c r="D56" s="8">
        <v>155675603679</v>
      </c>
      <c r="E56" s="8">
        <v>154552545740</v>
      </c>
      <c r="F56" s="8">
        <v>155675603679</v>
      </c>
    </row>
    <row r="57" spans="1:6" ht="15" customHeight="1">
      <c r="A57" s="8" t="s">
        <v>173</v>
      </c>
      <c r="B57" s="8" t="s">
        <v>174</v>
      </c>
      <c r="C57" s="8" t="s">
        <v>175</v>
      </c>
      <c r="D57" s="8" t="s">
        <v>1</v>
      </c>
      <c r="E57" s="8" t="s">
        <v>1</v>
      </c>
      <c r="F57" s="8" t="s">
        <v>1</v>
      </c>
    </row>
    <row r="58" spans="1:6" ht="15" customHeight="1">
      <c r="A58" s="5" t="s">
        <v>1</v>
      </c>
      <c r="B58" s="5" t="s">
        <v>176</v>
      </c>
      <c r="C58" s="5" t="s">
        <v>177</v>
      </c>
      <c r="D58" s="5" t="s">
        <v>1</v>
      </c>
      <c r="E58" s="5" t="s">
        <v>1</v>
      </c>
      <c r="F58" s="5" t="s">
        <v>1</v>
      </c>
    </row>
    <row r="59" spans="1:6" ht="15" customHeight="1">
      <c r="A59" s="9" t="s">
        <v>1</v>
      </c>
      <c r="B59" s="9" t="s">
        <v>1</v>
      </c>
      <c r="C59" s="9" t="s">
        <v>1</v>
      </c>
      <c r="D59" s="9" t="s">
        <v>1</v>
      </c>
      <c r="E59" s="9" t="s">
        <v>1</v>
      </c>
      <c r="F59" s="9" t="s">
        <v>1</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4"/>
  <sheetViews>
    <sheetView zoomScalePageLayoutView="0" workbookViewId="0" topLeftCell="A22">
      <selection activeCell="J32" sqref="J32"/>
    </sheetView>
  </sheetViews>
  <sheetFormatPr defaultColWidth="9.140625" defaultRowHeight="12.75"/>
  <cols>
    <col min="1" max="1" width="6.8515625" style="0" customWidth="1"/>
    <col min="2" max="2" width="31.7109375" style="0" customWidth="1"/>
    <col min="3" max="3" width="10.28125" style="0" customWidth="1"/>
    <col min="4" max="4" width="9.00390625" style="0" customWidth="1"/>
    <col min="5" max="5" width="41.28125" style="0" customWidth="1"/>
    <col min="6" max="6" width="10.7109375" style="0" customWidth="1"/>
    <col min="7" max="7" width="29.8515625" style="0" customWidth="1"/>
  </cols>
  <sheetData>
    <row r="1" spans="1:7" ht="15" customHeight="1">
      <c r="A1" s="7" t="s">
        <v>6</v>
      </c>
      <c r="B1" s="7" t="s">
        <v>178</v>
      </c>
      <c r="C1" s="7" t="s">
        <v>55</v>
      </c>
      <c r="D1" s="7" t="s">
        <v>179</v>
      </c>
      <c r="E1" s="7" t="s">
        <v>180</v>
      </c>
      <c r="F1" s="7" t="s">
        <v>181</v>
      </c>
      <c r="G1" s="7" t="s">
        <v>182</v>
      </c>
    </row>
    <row r="2" spans="1:7" ht="15" customHeight="1">
      <c r="A2" s="8" t="s">
        <v>59</v>
      </c>
      <c r="B2" s="20" t="s">
        <v>183</v>
      </c>
      <c r="C2" s="20"/>
      <c r="D2" s="20"/>
      <c r="E2" s="20"/>
      <c r="F2" s="20"/>
      <c r="G2" s="20"/>
    </row>
    <row r="3" spans="1:7" ht="15" customHeight="1">
      <c r="A3" s="5" t="s">
        <v>67</v>
      </c>
      <c r="B3" s="5" t="s">
        <v>67</v>
      </c>
      <c r="C3" s="5" t="s">
        <v>67</v>
      </c>
      <c r="D3" s="5" t="s">
        <v>67</v>
      </c>
      <c r="E3" s="5" t="s">
        <v>67</v>
      </c>
      <c r="F3" s="5" t="s">
        <v>67</v>
      </c>
      <c r="G3" s="5" t="s">
        <v>67</v>
      </c>
    </row>
    <row r="4" spans="1:7" ht="15" customHeight="1">
      <c r="A4" s="5"/>
      <c r="B4" s="5" t="s">
        <v>184</v>
      </c>
      <c r="C4" s="5" t="s">
        <v>185</v>
      </c>
      <c r="D4" s="5"/>
      <c r="E4" s="5"/>
      <c r="F4" s="5"/>
      <c r="G4" s="5"/>
    </row>
    <row r="5" spans="1:7" ht="15" customHeight="1">
      <c r="A5" s="8" t="s">
        <v>97</v>
      </c>
      <c r="B5" s="8" t="s">
        <v>186</v>
      </c>
      <c r="C5" s="8" t="s">
        <v>187</v>
      </c>
      <c r="D5" s="8" t="s">
        <v>1</v>
      </c>
      <c r="E5" s="8" t="s">
        <v>1</v>
      </c>
      <c r="F5" s="8" t="s">
        <v>1</v>
      </c>
      <c r="G5" s="8" t="s">
        <v>1</v>
      </c>
    </row>
    <row r="6" spans="1:7" ht="15" customHeight="1">
      <c r="A6" s="5" t="s">
        <v>67</v>
      </c>
      <c r="B6" s="5" t="s">
        <v>67</v>
      </c>
      <c r="C6" s="5" t="s">
        <v>67</v>
      </c>
      <c r="D6" s="5" t="s">
        <v>67</v>
      </c>
      <c r="E6" s="5" t="s">
        <v>67</v>
      </c>
      <c r="F6" s="5" t="s">
        <v>67</v>
      </c>
      <c r="G6" s="5" t="s">
        <v>67</v>
      </c>
    </row>
    <row r="7" spans="1:7" ht="15" customHeight="1">
      <c r="A7" s="5" t="s">
        <v>1</v>
      </c>
      <c r="B7" s="5" t="s">
        <v>184</v>
      </c>
      <c r="C7" s="5" t="s">
        <v>188</v>
      </c>
      <c r="D7" s="5" t="s">
        <v>1</v>
      </c>
      <c r="E7" s="5" t="s">
        <v>1</v>
      </c>
      <c r="F7" s="5" t="s">
        <v>1</v>
      </c>
      <c r="G7" s="5" t="s">
        <v>1</v>
      </c>
    </row>
    <row r="8" spans="1:7" ht="15" customHeight="1">
      <c r="A8" s="8" t="s">
        <v>189</v>
      </c>
      <c r="B8" s="8" t="s">
        <v>190</v>
      </c>
      <c r="C8" s="8" t="s">
        <v>191</v>
      </c>
      <c r="D8" s="8" t="s">
        <v>1</v>
      </c>
      <c r="E8" s="8" t="s">
        <v>1</v>
      </c>
      <c r="F8" s="8" t="s">
        <v>1</v>
      </c>
      <c r="G8" s="8" t="s">
        <v>1</v>
      </c>
    </row>
    <row r="9" spans="1:7" ht="15" customHeight="1">
      <c r="A9" s="5" t="s">
        <v>67</v>
      </c>
      <c r="B9" s="5" t="s">
        <v>67</v>
      </c>
      <c r="C9" s="5" t="s">
        <v>67</v>
      </c>
      <c r="D9" s="5" t="s">
        <v>67</v>
      </c>
      <c r="E9" s="5" t="s">
        <v>67</v>
      </c>
      <c r="F9" s="5" t="s">
        <v>67</v>
      </c>
      <c r="G9" s="5" t="s">
        <v>67</v>
      </c>
    </row>
    <row r="10" spans="1:7" ht="15" customHeight="1">
      <c r="A10" s="5" t="s">
        <v>1</v>
      </c>
      <c r="B10" s="5" t="s">
        <v>184</v>
      </c>
      <c r="C10" s="5" t="s">
        <v>192</v>
      </c>
      <c r="D10" s="5" t="s">
        <v>1</v>
      </c>
      <c r="E10" s="5" t="s">
        <v>1</v>
      </c>
      <c r="F10" s="5" t="s">
        <v>1</v>
      </c>
      <c r="G10" s="5" t="s">
        <v>1</v>
      </c>
    </row>
    <row r="11" spans="1:7" ht="15" customHeight="1">
      <c r="A11" s="8" t="s">
        <v>145</v>
      </c>
      <c r="B11" s="8" t="s">
        <v>193</v>
      </c>
      <c r="C11" s="8" t="s">
        <v>194</v>
      </c>
      <c r="D11" s="8" t="s">
        <v>1</v>
      </c>
      <c r="E11" s="8" t="s">
        <v>1</v>
      </c>
      <c r="F11" s="8" t="s">
        <v>1</v>
      </c>
      <c r="G11" s="8" t="s">
        <v>1</v>
      </c>
    </row>
    <row r="12" spans="1:7" ht="15" customHeight="1">
      <c r="A12" s="5" t="s">
        <v>67</v>
      </c>
      <c r="B12" s="5" t="s">
        <v>390</v>
      </c>
      <c r="C12" s="5">
        <v>2251.1</v>
      </c>
      <c r="D12" s="5">
        <v>109136</v>
      </c>
      <c r="E12" s="5">
        <v>100670.42</v>
      </c>
      <c r="F12" s="5">
        <v>10986766957</v>
      </c>
      <c r="G12" s="5">
        <v>0.07042255035879674</v>
      </c>
    </row>
    <row r="13" spans="1:7" ht="15" customHeight="1">
      <c r="A13" s="5"/>
      <c r="B13" s="5" t="s">
        <v>391</v>
      </c>
      <c r="C13" s="5">
        <v>2251.2</v>
      </c>
      <c r="D13" s="5">
        <v>85220</v>
      </c>
      <c r="E13" s="5">
        <v>101199.73</v>
      </c>
      <c r="F13" s="5">
        <v>8624240991</v>
      </c>
      <c r="G13" s="5">
        <v>0.055279323560070724</v>
      </c>
    </row>
    <row r="14" spans="1:7" ht="15" customHeight="1">
      <c r="A14" s="5"/>
      <c r="B14" s="5" t="s">
        <v>392</v>
      </c>
      <c r="C14" s="5">
        <v>2251.3</v>
      </c>
      <c r="D14" s="5">
        <v>180000</v>
      </c>
      <c r="E14" s="5">
        <v>98888.56</v>
      </c>
      <c r="F14" s="5">
        <v>17799940800</v>
      </c>
      <c r="G14" s="5">
        <v>0.11409336634495075</v>
      </c>
    </row>
    <row r="15" spans="1:7" ht="15" customHeight="1">
      <c r="A15" s="5"/>
      <c r="B15" s="5" t="s">
        <v>412</v>
      </c>
      <c r="C15" s="5">
        <v>2251.4</v>
      </c>
      <c r="D15" s="5">
        <v>220000</v>
      </c>
      <c r="E15" s="5">
        <v>100001.84</v>
      </c>
      <c r="F15" s="5">
        <v>22000404800</v>
      </c>
      <c r="G15" s="5">
        <v>0.14101733667471597</v>
      </c>
    </row>
    <row r="16" spans="1:7" ht="15" customHeight="1">
      <c r="A16" s="5"/>
      <c r="B16" s="5" t="s">
        <v>409</v>
      </c>
      <c r="C16" s="5">
        <v>2251.5</v>
      </c>
      <c r="D16" s="5">
        <v>150000</v>
      </c>
      <c r="E16" s="5">
        <v>99984.28</v>
      </c>
      <c r="F16" s="5">
        <v>14997642329</v>
      </c>
      <c r="G16" s="5">
        <v>0.0961313028947342</v>
      </c>
    </row>
    <row r="17" spans="1:7" ht="15" customHeight="1">
      <c r="A17" s="5"/>
      <c r="B17" s="5"/>
      <c r="C17" s="5"/>
      <c r="D17" s="5"/>
      <c r="E17" s="5"/>
      <c r="F17" s="5"/>
      <c r="G17" s="5"/>
    </row>
    <row r="18" spans="1:7" ht="15" customHeight="1">
      <c r="A18" s="10" t="s">
        <v>1</v>
      </c>
      <c r="B18" s="5" t="s">
        <v>184</v>
      </c>
      <c r="C18" s="5" t="s">
        <v>195</v>
      </c>
      <c r="D18" s="5">
        <v>744356</v>
      </c>
      <c r="E18" s="8"/>
      <c r="F18" s="5">
        <v>74408995877</v>
      </c>
      <c r="G18" s="5">
        <v>0.4769438798332684</v>
      </c>
    </row>
    <row r="19" spans="1:7" ht="15" customHeight="1">
      <c r="A19" s="8" t="s">
        <v>196</v>
      </c>
      <c r="B19" s="8" t="s">
        <v>197</v>
      </c>
      <c r="C19" s="8" t="s">
        <v>198</v>
      </c>
      <c r="D19" s="8" t="s">
        <v>1</v>
      </c>
      <c r="E19" s="8" t="s">
        <v>1</v>
      </c>
      <c r="F19" s="8" t="s">
        <v>1</v>
      </c>
      <c r="G19" s="8" t="s">
        <v>1</v>
      </c>
    </row>
    <row r="20" spans="1:7" ht="15" customHeight="1">
      <c r="A20" s="5" t="s">
        <v>67</v>
      </c>
      <c r="B20" s="5" t="s">
        <v>67</v>
      </c>
      <c r="C20" s="5" t="s">
        <v>67</v>
      </c>
      <c r="D20" s="5" t="s">
        <v>67</v>
      </c>
      <c r="E20" s="5" t="s">
        <v>67</v>
      </c>
      <c r="F20" s="5" t="s">
        <v>67</v>
      </c>
      <c r="G20" s="5" t="s">
        <v>67</v>
      </c>
    </row>
    <row r="21" spans="1:7" ht="15" customHeight="1">
      <c r="A21" s="5" t="s">
        <v>1</v>
      </c>
      <c r="B21" s="5" t="s">
        <v>184</v>
      </c>
      <c r="C21" s="5" t="s">
        <v>199</v>
      </c>
      <c r="D21" s="5" t="s">
        <v>1</v>
      </c>
      <c r="E21" s="5" t="s">
        <v>1</v>
      </c>
      <c r="F21" s="5" t="s">
        <v>1</v>
      </c>
      <c r="G21" s="5" t="s">
        <v>1</v>
      </c>
    </row>
    <row r="22" spans="1:7" ht="15" customHeight="1">
      <c r="A22" s="5" t="s">
        <v>1</v>
      </c>
      <c r="B22" s="5" t="s">
        <v>200</v>
      </c>
      <c r="C22" s="5" t="s">
        <v>201</v>
      </c>
      <c r="D22" s="5">
        <v>744356</v>
      </c>
      <c r="E22" s="8"/>
      <c r="F22" s="5">
        <v>74408995877</v>
      </c>
      <c r="G22" s="5">
        <v>0.4769438798332684</v>
      </c>
    </row>
    <row r="23" spans="1:7" ht="15" customHeight="1">
      <c r="A23" s="8" t="s">
        <v>202</v>
      </c>
      <c r="B23" s="8" t="s">
        <v>203</v>
      </c>
      <c r="C23" s="8" t="s">
        <v>204</v>
      </c>
      <c r="D23" s="8" t="s">
        <v>1</v>
      </c>
      <c r="E23" s="8" t="s">
        <v>1</v>
      </c>
      <c r="F23" s="8" t="s">
        <v>1</v>
      </c>
      <c r="G23" s="8" t="s">
        <v>1</v>
      </c>
    </row>
    <row r="24" spans="1:7" ht="15" customHeight="1">
      <c r="A24" s="5" t="s">
        <v>67</v>
      </c>
      <c r="B24" s="5" t="s">
        <v>393</v>
      </c>
      <c r="C24" s="5">
        <v>2256.1</v>
      </c>
      <c r="D24" s="5"/>
      <c r="E24" s="5"/>
      <c r="F24" s="5">
        <v>1206922663</v>
      </c>
      <c r="G24" s="5">
        <v>0.0077360858155035295</v>
      </c>
    </row>
    <row r="25" spans="1:7" ht="15" customHeight="1">
      <c r="A25" s="5"/>
      <c r="B25" s="5" t="s">
        <v>80</v>
      </c>
      <c r="C25" s="5">
        <v>2256.2</v>
      </c>
      <c r="D25" s="5"/>
      <c r="E25" s="5"/>
      <c r="F25" s="5">
        <v>1288866083</v>
      </c>
      <c r="G25" s="5">
        <v>0.008261323553239048</v>
      </c>
    </row>
    <row r="26" spans="1:7" ht="15" customHeight="1">
      <c r="A26" s="5"/>
      <c r="B26" s="5" t="s">
        <v>394</v>
      </c>
      <c r="C26" s="5">
        <v>2256.3</v>
      </c>
      <c r="D26" s="5"/>
      <c r="E26" s="5"/>
      <c r="F26" s="5"/>
      <c r="G26" s="5"/>
    </row>
    <row r="27" spans="1:7" ht="15" customHeight="1">
      <c r="A27" s="5"/>
      <c r="B27" s="5" t="s">
        <v>395</v>
      </c>
      <c r="C27" s="5">
        <v>2256.4</v>
      </c>
      <c r="D27" s="5"/>
      <c r="E27" s="5"/>
      <c r="F27" s="5"/>
      <c r="G27" s="5"/>
    </row>
    <row r="28" spans="1:7" ht="15" customHeight="1">
      <c r="A28" s="5"/>
      <c r="B28" s="5" t="s">
        <v>396</v>
      </c>
      <c r="C28" s="5">
        <v>2256.5</v>
      </c>
      <c r="D28" s="5"/>
      <c r="E28" s="5"/>
      <c r="F28" s="5"/>
      <c r="G28" s="5"/>
    </row>
    <row r="29" spans="1:7" ht="15" customHeight="1">
      <c r="A29" s="5"/>
      <c r="B29" s="5" t="s">
        <v>397</v>
      </c>
      <c r="C29" s="5">
        <v>2256.6</v>
      </c>
      <c r="D29" s="5"/>
      <c r="E29" s="5"/>
      <c r="F29" s="5"/>
      <c r="G29" s="5"/>
    </row>
    <row r="30" spans="1:7" ht="15" customHeight="1">
      <c r="A30" s="5"/>
      <c r="B30" s="5" t="s">
        <v>398</v>
      </c>
      <c r="C30" s="5">
        <v>2256.7</v>
      </c>
      <c r="D30" s="5"/>
      <c r="E30" s="5"/>
      <c r="F30" s="5">
        <v>49000000002</v>
      </c>
      <c r="G30" s="5">
        <v>0.3140782890205328</v>
      </c>
    </row>
    <row r="31" spans="1:7" ht="15" customHeight="1">
      <c r="A31" s="5"/>
      <c r="B31" s="5" t="s">
        <v>399</v>
      </c>
      <c r="C31" s="5">
        <v>2256.8</v>
      </c>
      <c r="D31" s="5"/>
      <c r="E31" s="5"/>
      <c r="F31" s="5"/>
      <c r="G31" s="5"/>
    </row>
    <row r="32" spans="1:7" ht="15" customHeight="1">
      <c r="A32" s="5" t="s">
        <v>1</v>
      </c>
      <c r="B32" s="5" t="s">
        <v>184</v>
      </c>
      <c r="C32" s="5" t="s">
        <v>205</v>
      </c>
      <c r="D32" s="5" t="s">
        <v>1</v>
      </c>
      <c r="E32" s="5" t="s">
        <v>1</v>
      </c>
      <c r="F32" s="5">
        <v>51495788748</v>
      </c>
      <c r="G32" s="5">
        <v>0.33007569838927536</v>
      </c>
    </row>
    <row r="33" spans="1:7" ht="15" customHeight="1">
      <c r="A33" s="8" t="s">
        <v>206</v>
      </c>
      <c r="B33" s="8" t="s">
        <v>65</v>
      </c>
      <c r="C33" s="8" t="s">
        <v>207</v>
      </c>
      <c r="D33" s="8" t="s">
        <v>1</v>
      </c>
      <c r="E33" s="8" t="s">
        <v>1</v>
      </c>
      <c r="F33" s="8" t="s">
        <v>1</v>
      </c>
      <c r="G33" s="8" t="s">
        <v>1</v>
      </c>
    </row>
    <row r="34" spans="1:7" ht="15" customHeight="1">
      <c r="A34" s="5" t="s">
        <v>1</v>
      </c>
      <c r="B34" s="5" t="s">
        <v>208</v>
      </c>
      <c r="C34" s="5" t="s">
        <v>209</v>
      </c>
      <c r="D34" s="5" t="s">
        <v>1</v>
      </c>
      <c r="E34" s="5" t="s">
        <v>1</v>
      </c>
      <c r="F34" s="5">
        <v>30107272607</v>
      </c>
      <c r="G34" s="5">
        <v>0.19298042177745622</v>
      </c>
    </row>
    <row r="35" spans="1:7" ht="15" customHeight="1">
      <c r="A35" s="5" t="s">
        <v>67</v>
      </c>
      <c r="B35" s="5" t="s">
        <v>400</v>
      </c>
      <c r="C35" s="5">
        <v>2259.1</v>
      </c>
      <c r="D35" s="5"/>
      <c r="E35" s="5"/>
      <c r="F35" s="5">
        <v>30913471</v>
      </c>
      <c r="G35" s="5">
        <v>0.00019814796079529722</v>
      </c>
    </row>
    <row r="36" spans="1:7" ht="15" customHeight="1">
      <c r="A36" s="5"/>
      <c r="B36" s="5" t="s">
        <v>401</v>
      </c>
      <c r="C36" s="5">
        <v>2259.2</v>
      </c>
      <c r="D36" s="5"/>
      <c r="E36" s="5"/>
      <c r="F36" s="5">
        <v>38747404</v>
      </c>
      <c r="G36" s="5">
        <v>0.0002483615990165434</v>
      </c>
    </row>
    <row r="37" spans="1:7" ht="15" customHeight="1">
      <c r="A37" s="5"/>
      <c r="B37" s="5" t="s">
        <v>402</v>
      </c>
      <c r="C37" s="5">
        <v>2259.3</v>
      </c>
      <c r="D37" s="5"/>
      <c r="E37" s="5"/>
      <c r="F37" s="5">
        <v>7611732</v>
      </c>
      <c r="G37" s="5">
        <v>4.878938291725019E-05</v>
      </c>
    </row>
    <row r="38" spans="1:7" ht="15" customHeight="1">
      <c r="A38" s="5"/>
      <c r="B38" s="5" t="s">
        <v>403</v>
      </c>
      <c r="C38" s="5">
        <v>2259.4</v>
      </c>
      <c r="D38" s="5"/>
      <c r="E38" s="5"/>
      <c r="F38" s="5">
        <v>30030000000</v>
      </c>
      <c r="G38" s="5">
        <v>0.19248512283472713</v>
      </c>
    </row>
    <row r="39" spans="1:7" ht="15" customHeight="1">
      <c r="A39" s="5" t="s">
        <v>1</v>
      </c>
      <c r="B39" s="5" t="s">
        <v>68</v>
      </c>
      <c r="C39" s="5" t="s">
        <v>210</v>
      </c>
      <c r="D39" s="5" t="s">
        <v>1</v>
      </c>
      <c r="E39" s="5" t="s">
        <v>1</v>
      </c>
      <c r="F39" s="5" t="s">
        <v>1</v>
      </c>
      <c r="G39" s="5" t="s">
        <v>1</v>
      </c>
    </row>
    <row r="40" spans="1:7" ht="15" customHeight="1">
      <c r="A40" s="5" t="s">
        <v>67</v>
      </c>
      <c r="B40" s="5" t="s">
        <v>404</v>
      </c>
      <c r="C40" s="5">
        <v>2260.1</v>
      </c>
      <c r="D40" s="5" t="s">
        <v>67</v>
      </c>
      <c r="E40" s="5" t="s">
        <v>67</v>
      </c>
      <c r="F40" s="5" t="s">
        <v>67</v>
      </c>
      <c r="G40" s="5" t="s">
        <v>67</v>
      </c>
    </row>
    <row r="41" spans="1:7" ht="15" customHeight="1">
      <c r="A41" s="5" t="s">
        <v>1</v>
      </c>
      <c r="B41" s="5"/>
      <c r="C41" s="5"/>
      <c r="D41" s="5" t="s">
        <v>1</v>
      </c>
      <c r="E41" s="5" t="s">
        <v>1</v>
      </c>
      <c r="F41" s="5" t="s">
        <v>1</v>
      </c>
      <c r="G41" s="5" t="s">
        <v>1</v>
      </c>
    </row>
    <row r="42" spans="1:7" ht="15" customHeight="1">
      <c r="A42" s="5" t="s">
        <v>1</v>
      </c>
      <c r="B42" s="5" t="s">
        <v>184</v>
      </c>
      <c r="C42" s="5" t="s">
        <v>211</v>
      </c>
      <c r="D42" s="5" t="s">
        <v>1</v>
      </c>
      <c r="E42" s="5" t="s">
        <v>1</v>
      </c>
      <c r="F42" s="5">
        <v>30107272607</v>
      </c>
      <c r="G42" s="5">
        <v>0.19298042177745622</v>
      </c>
    </row>
    <row r="43" spans="1:7" ht="15" customHeight="1">
      <c r="A43" s="8" t="s">
        <v>161</v>
      </c>
      <c r="B43" s="8" t="s">
        <v>212</v>
      </c>
      <c r="C43" s="8" t="s">
        <v>213</v>
      </c>
      <c r="D43" s="8" t="s">
        <v>1</v>
      </c>
      <c r="E43" s="8" t="s">
        <v>1</v>
      </c>
      <c r="F43" s="8">
        <v>156012057232</v>
      </c>
      <c r="G43" s="8">
        <v>1</v>
      </c>
    </row>
    <row r="44" spans="1:7" ht="15" customHeight="1">
      <c r="A44" s="9" t="s">
        <v>1</v>
      </c>
      <c r="B44" s="9" t="s">
        <v>1</v>
      </c>
      <c r="C44" s="9" t="s">
        <v>1</v>
      </c>
      <c r="D44" s="9" t="s">
        <v>1</v>
      </c>
      <c r="E44" s="9" t="s">
        <v>1</v>
      </c>
      <c r="F44" s="9" t="s">
        <v>1</v>
      </c>
      <c r="G44" s="9" t="s">
        <v>1</v>
      </c>
    </row>
  </sheetData>
  <sheetProtection/>
  <mergeCells count="1">
    <mergeCell ref="B2:G2"/>
  </mergeCells>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21" t="s">
        <v>6</v>
      </c>
      <c r="B1" s="21" t="s">
        <v>214</v>
      </c>
      <c r="C1" s="21" t="s">
        <v>215</v>
      </c>
      <c r="D1" s="21" t="s">
        <v>216</v>
      </c>
      <c r="E1" s="21" t="s">
        <v>217</v>
      </c>
      <c r="F1" s="21" t="s">
        <v>218</v>
      </c>
      <c r="G1" s="21" t="s">
        <v>219</v>
      </c>
      <c r="H1" s="21"/>
      <c r="I1" s="21" t="s">
        <v>220</v>
      </c>
      <c r="J1" s="21"/>
    </row>
    <row r="2" spans="1:10" ht="15" customHeight="1">
      <c r="A2" s="21"/>
      <c r="B2" s="21"/>
      <c r="C2" s="21"/>
      <c r="D2" s="21"/>
      <c r="E2" s="21"/>
      <c r="F2" s="21"/>
      <c r="G2" s="7" t="s">
        <v>221</v>
      </c>
      <c r="H2" s="7" t="s">
        <v>222</v>
      </c>
      <c r="I2" s="7" t="s">
        <v>221</v>
      </c>
      <c r="J2" s="7" t="s">
        <v>223</v>
      </c>
    </row>
    <row r="3" spans="1:10" ht="15" customHeight="1">
      <c r="A3" s="5" t="s">
        <v>9</v>
      </c>
      <c r="B3" s="5" t="s">
        <v>224</v>
      </c>
      <c r="C3" s="5" t="s">
        <v>1</v>
      </c>
      <c r="D3" s="5" t="s">
        <v>1</v>
      </c>
      <c r="E3" s="5" t="s">
        <v>1</v>
      </c>
      <c r="F3" s="5" t="s">
        <v>1</v>
      </c>
      <c r="G3" s="5" t="s">
        <v>1</v>
      </c>
      <c r="H3" s="5" t="s">
        <v>1</v>
      </c>
      <c r="I3" s="5" t="s">
        <v>1</v>
      </c>
      <c r="J3" s="5" t="s">
        <v>1</v>
      </c>
    </row>
    <row r="4" spans="1:10" ht="15" customHeight="1">
      <c r="A4" s="5" t="s">
        <v>67</v>
      </c>
      <c r="B4" s="5" t="s">
        <v>67</v>
      </c>
      <c r="C4" s="5" t="s">
        <v>67</v>
      </c>
      <c r="D4" s="5" t="s">
        <v>67</v>
      </c>
      <c r="E4" s="5" t="s">
        <v>67</v>
      </c>
      <c r="F4" s="5" t="s">
        <v>67</v>
      </c>
      <c r="G4" s="5" t="s">
        <v>67</v>
      </c>
      <c r="H4" s="5" t="s">
        <v>67</v>
      </c>
      <c r="I4" s="5" t="s">
        <v>67</v>
      </c>
      <c r="J4" s="5" t="s">
        <v>67</v>
      </c>
    </row>
    <row r="5" spans="1:10" ht="15" customHeight="1">
      <c r="A5" s="5"/>
      <c r="B5" s="5"/>
      <c r="C5" s="5" t="s">
        <v>1</v>
      </c>
      <c r="D5" s="5" t="s">
        <v>1</v>
      </c>
      <c r="E5" s="5" t="s">
        <v>1</v>
      </c>
      <c r="F5" s="5" t="s">
        <v>1</v>
      </c>
      <c r="G5" s="5" t="s">
        <v>1</v>
      </c>
      <c r="H5" s="5" t="s">
        <v>1</v>
      </c>
      <c r="I5" s="5" t="s">
        <v>1</v>
      </c>
      <c r="J5" s="5" t="s">
        <v>1</v>
      </c>
    </row>
    <row r="6" spans="1:10" ht="15" customHeight="1">
      <c r="A6" s="8" t="s">
        <v>59</v>
      </c>
      <c r="B6" s="8" t="s">
        <v>225</v>
      </c>
      <c r="C6" s="8" t="s">
        <v>1</v>
      </c>
      <c r="D6" s="8" t="s">
        <v>1</v>
      </c>
      <c r="E6" s="8" t="s">
        <v>1</v>
      </c>
      <c r="F6" s="8" t="s">
        <v>1</v>
      </c>
      <c r="G6" s="8" t="s">
        <v>1</v>
      </c>
      <c r="H6" s="8" t="s">
        <v>1</v>
      </c>
      <c r="I6" s="8" t="s">
        <v>1</v>
      </c>
      <c r="J6" s="8" t="s">
        <v>1</v>
      </c>
    </row>
    <row r="7" spans="1:10" ht="15" customHeight="1">
      <c r="A7" s="5" t="s">
        <v>12</v>
      </c>
      <c r="B7" s="5" t="s">
        <v>226</v>
      </c>
      <c r="C7" s="5" t="s">
        <v>1</v>
      </c>
      <c r="D7" s="5" t="s">
        <v>1</v>
      </c>
      <c r="E7" s="5" t="s">
        <v>1</v>
      </c>
      <c r="F7" s="5" t="s">
        <v>1</v>
      </c>
      <c r="G7" s="5" t="s">
        <v>1</v>
      </c>
      <c r="H7" s="5" t="s">
        <v>1</v>
      </c>
      <c r="I7" s="5" t="s">
        <v>1</v>
      </c>
      <c r="J7" s="5" t="s">
        <v>1</v>
      </c>
    </row>
    <row r="8" spans="1:10" ht="15" customHeight="1">
      <c r="A8" s="5" t="s">
        <v>67</v>
      </c>
      <c r="B8" s="5" t="s">
        <v>67</v>
      </c>
      <c r="C8" s="5" t="s">
        <v>67</v>
      </c>
      <c r="D8" s="5" t="s">
        <v>67</v>
      </c>
      <c r="E8" s="5" t="s">
        <v>67</v>
      </c>
      <c r="F8" s="5" t="s">
        <v>67</v>
      </c>
      <c r="G8" s="5" t="s">
        <v>67</v>
      </c>
      <c r="H8" s="5" t="s">
        <v>67</v>
      </c>
      <c r="I8" s="5" t="s">
        <v>67</v>
      </c>
      <c r="J8" s="5" t="s">
        <v>67</v>
      </c>
    </row>
    <row r="9" spans="1:10" ht="15" customHeight="1">
      <c r="A9" s="5"/>
      <c r="B9" s="5"/>
      <c r="C9" s="5" t="s">
        <v>1</v>
      </c>
      <c r="D9" s="5" t="s">
        <v>1</v>
      </c>
      <c r="E9" s="5" t="s">
        <v>1</v>
      </c>
      <c r="F9" s="5" t="s">
        <v>1</v>
      </c>
      <c r="G9" s="5" t="s">
        <v>1</v>
      </c>
      <c r="H9" s="5" t="s">
        <v>1</v>
      </c>
      <c r="I9" s="5" t="s">
        <v>1</v>
      </c>
      <c r="J9" s="5" t="s">
        <v>1</v>
      </c>
    </row>
    <row r="10" spans="1:10" ht="15" customHeight="1">
      <c r="A10" s="8" t="s">
        <v>97</v>
      </c>
      <c r="B10" s="8" t="s">
        <v>227</v>
      </c>
      <c r="C10" s="8" t="s">
        <v>1</v>
      </c>
      <c r="D10" s="8" t="s">
        <v>1</v>
      </c>
      <c r="E10" s="8" t="s">
        <v>1</v>
      </c>
      <c r="F10" s="8" t="s">
        <v>1</v>
      </c>
      <c r="G10" s="8" t="s">
        <v>1</v>
      </c>
      <c r="H10" s="8" t="s">
        <v>1</v>
      </c>
      <c r="I10" s="8" t="s">
        <v>1</v>
      </c>
      <c r="J10" s="8" t="s">
        <v>1</v>
      </c>
    </row>
    <row r="11" spans="1:10" ht="15" customHeight="1">
      <c r="A11" s="8" t="s">
        <v>228</v>
      </c>
      <c r="B11" s="8" t="s">
        <v>229</v>
      </c>
      <c r="C11" s="8" t="s">
        <v>1</v>
      </c>
      <c r="D11" s="8" t="s">
        <v>1</v>
      </c>
      <c r="E11" s="8" t="s">
        <v>1</v>
      </c>
      <c r="F11" s="8" t="s">
        <v>1</v>
      </c>
      <c r="G11" s="8" t="s">
        <v>1</v>
      </c>
      <c r="H11" s="8" t="s">
        <v>1</v>
      </c>
      <c r="I11" s="8" t="s">
        <v>1</v>
      </c>
      <c r="J11" s="8" t="s">
        <v>1</v>
      </c>
    </row>
    <row r="12" spans="1:10" ht="15" customHeight="1">
      <c r="A12" s="5" t="s">
        <v>15</v>
      </c>
      <c r="B12" s="5" t="s">
        <v>230</v>
      </c>
      <c r="C12" s="5" t="s">
        <v>1</v>
      </c>
      <c r="D12" s="5" t="s">
        <v>1</v>
      </c>
      <c r="E12" s="5" t="s">
        <v>1</v>
      </c>
      <c r="F12" s="5" t="s">
        <v>1</v>
      </c>
      <c r="G12" s="5" t="s">
        <v>1</v>
      </c>
      <c r="H12" s="5" t="s">
        <v>1</v>
      </c>
      <c r="I12" s="5" t="s">
        <v>1</v>
      </c>
      <c r="J12" s="5" t="s">
        <v>1</v>
      </c>
    </row>
    <row r="13" spans="1:10" ht="15" customHeight="1">
      <c r="A13" s="5" t="s">
        <v>67</v>
      </c>
      <c r="B13" s="5" t="s">
        <v>67</v>
      </c>
      <c r="C13" s="5" t="s">
        <v>67</v>
      </c>
      <c r="D13" s="5" t="s">
        <v>67</v>
      </c>
      <c r="E13" s="5" t="s">
        <v>67</v>
      </c>
      <c r="F13" s="5" t="s">
        <v>67</v>
      </c>
      <c r="G13" s="5" t="s">
        <v>67</v>
      </c>
      <c r="H13" s="5" t="s">
        <v>67</v>
      </c>
      <c r="I13" s="5" t="s">
        <v>67</v>
      </c>
      <c r="J13" s="5" t="s">
        <v>67</v>
      </c>
    </row>
    <row r="14" spans="1:10" ht="15" customHeight="1">
      <c r="A14" s="5"/>
      <c r="B14" s="5"/>
      <c r="C14" s="5" t="s">
        <v>1</v>
      </c>
      <c r="D14" s="5" t="s">
        <v>1</v>
      </c>
      <c r="E14" s="5" t="s">
        <v>1</v>
      </c>
      <c r="F14" s="5" t="s">
        <v>1</v>
      </c>
      <c r="G14" s="5" t="s">
        <v>1</v>
      </c>
      <c r="H14" s="5" t="s">
        <v>1</v>
      </c>
      <c r="I14" s="5" t="s">
        <v>1</v>
      </c>
      <c r="J14" s="5" t="s">
        <v>1</v>
      </c>
    </row>
    <row r="15" spans="1:10" ht="15" customHeight="1">
      <c r="A15" s="8" t="s">
        <v>145</v>
      </c>
      <c r="B15" s="8" t="s">
        <v>231</v>
      </c>
      <c r="C15" s="8" t="s">
        <v>1</v>
      </c>
      <c r="D15" s="8" t="s">
        <v>1</v>
      </c>
      <c r="E15" s="8" t="s">
        <v>1</v>
      </c>
      <c r="F15" s="8" t="s">
        <v>1</v>
      </c>
      <c r="G15" s="8" t="s">
        <v>1</v>
      </c>
      <c r="H15" s="8" t="s">
        <v>1</v>
      </c>
      <c r="I15" s="8" t="s">
        <v>1</v>
      </c>
      <c r="J15" s="8" t="s">
        <v>1</v>
      </c>
    </row>
    <row r="16" spans="1:10" ht="15" customHeight="1">
      <c r="A16" s="5" t="s">
        <v>18</v>
      </c>
      <c r="B16" s="5" t="s">
        <v>232</v>
      </c>
      <c r="C16" s="5" t="s">
        <v>1</v>
      </c>
      <c r="D16" s="5" t="s">
        <v>1</v>
      </c>
      <c r="E16" s="5" t="s">
        <v>1</v>
      </c>
      <c r="F16" s="5" t="s">
        <v>1</v>
      </c>
      <c r="G16" s="5" t="s">
        <v>1</v>
      </c>
      <c r="H16" s="5" t="s">
        <v>1</v>
      </c>
      <c r="I16" s="5" t="s">
        <v>1</v>
      </c>
      <c r="J16" s="5" t="s">
        <v>1</v>
      </c>
    </row>
    <row r="17" spans="1:10" ht="15" customHeight="1">
      <c r="A17" s="5" t="s">
        <v>67</v>
      </c>
      <c r="B17" s="5" t="s">
        <v>67</v>
      </c>
      <c r="C17" s="5" t="s">
        <v>67</v>
      </c>
      <c r="D17" s="5" t="s">
        <v>67</v>
      </c>
      <c r="E17" s="5" t="s">
        <v>67</v>
      </c>
      <c r="F17" s="5" t="s">
        <v>67</v>
      </c>
      <c r="G17" s="5" t="s">
        <v>67</v>
      </c>
      <c r="H17" s="5" t="s">
        <v>67</v>
      </c>
      <c r="I17" s="5" t="s">
        <v>67</v>
      </c>
      <c r="J17" s="5" t="s">
        <v>67</v>
      </c>
    </row>
    <row r="18" spans="1:10" ht="15" customHeight="1">
      <c r="A18" s="5"/>
      <c r="B18" s="5"/>
      <c r="C18" s="5" t="s">
        <v>1</v>
      </c>
      <c r="D18" s="5" t="s">
        <v>1</v>
      </c>
      <c r="E18" s="5" t="s">
        <v>1</v>
      </c>
      <c r="F18" s="5" t="s">
        <v>1</v>
      </c>
      <c r="G18" s="5" t="s">
        <v>1</v>
      </c>
      <c r="H18" s="5" t="s">
        <v>1</v>
      </c>
      <c r="I18" s="5" t="s">
        <v>1</v>
      </c>
      <c r="J18" s="5" t="s">
        <v>1</v>
      </c>
    </row>
    <row r="19" spans="1:10" ht="15" customHeight="1">
      <c r="A19" s="8" t="s">
        <v>148</v>
      </c>
      <c r="B19" s="8" t="s">
        <v>233</v>
      </c>
      <c r="C19" s="8" t="s">
        <v>1</v>
      </c>
      <c r="D19" s="8" t="s">
        <v>1</v>
      </c>
      <c r="E19" s="8" t="s">
        <v>1</v>
      </c>
      <c r="F19" s="8" t="s">
        <v>1</v>
      </c>
      <c r="G19" s="8" t="s">
        <v>1</v>
      </c>
      <c r="H19" s="8" t="s">
        <v>1</v>
      </c>
      <c r="I19" s="8" t="s">
        <v>1</v>
      </c>
      <c r="J19" s="8" t="s">
        <v>1</v>
      </c>
    </row>
    <row r="20" spans="1:10" ht="15" customHeight="1">
      <c r="A20" s="8" t="s">
        <v>234</v>
      </c>
      <c r="B20" s="8" t="s">
        <v>235</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E31"/>
  <sheetViews>
    <sheetView zoomScalePageLayoutView="0" workbookViewId="0" topLeftCell="A13">
      <selection activeCell="D14" sqref="D14:E30"/>
    </sheetView>
  </sheetViews>
  <sheetFormatPr defaultColWidth="9.140625" defaultRowHeight="12.75"/>
  <cols>
    <col min="1" max="1" width="6.8515625" style="0" customWidth="1"/>
    <col min="2" max="2" width="55.00390625" style="0" customWidth="1"/>
    <col min="3" max="3" width="10.28125" style="0" customWidth="1"/>
    <col min="4" max="4" width="17.421875" style="0" customWidth="1"/>
    <col min="5" max="5" width="18.57421875" style="0" customWidth="1"/>
  </cols>
  <sheetData>
    <row r="1" spans="1:5" ht="15" customHeight="1">
      <c r="A1" s="7" t="s">
        <v>6</v>
      </c>
      <c r="B1" s="7" t="s">
        <v>118</v>
      </c>
      <c r="C1" s="7" t="s">
        <v>55</v>
      </c>
      <c r="D1" s="7" t="s">
        <v>236</v>
      </c>
      <c r="E1" s="7" t="s">
        <v>237</v>
      </c>
    </row>
    <row r="2" spans="1:5" ht="15" customHeight="1">
      <c r="A2" s="8" t="s">
        <v>59</v>
      </c>
      <c r="B2" s="8" t="s">
        <v>238</v>
      </c>
      <c r="C2" s="8" t="s">
        <v>185</v>
      </c>
      <c r="D2" s="8" t="s">
        <v>1</v>
      </c>
      <c r="E2" s="8" t="s">
        <v>1</v>
      </c>
    </row>
    <row r="3" spans="1:5" ht="15" customHeight="1">
      <c r="A3" s="5" t="s">
        <v>9</v>
      </c>
      <c r="B3" s="5" t="s">
        <v>239</v>
      </c>
      <c r="C3" s="5" t="s">
        <v>240</v>
      </c>
      <c r="D3" s="5">
        <v>0.008500500683137908</v>
      </c>
      <c r="E3" s="5">
        <v>0.008500484073407682</v>
      </c>
    </row>
    <row r="4" spans="1:5" ht="15" customHeight="1">
      <c r="A4" s="5" t="s">
        <v>12</v>
      </c>
      <c r="B4" s="5" t="s">
        <v>241</v>
      </c>
      <c r="C4" s="5" t="s">
        <v>242</v>
      </c>
      <c r="D4" s="5">
        <v>0.0021169119544928367</v>
      </c>
      <c r="E4" s="5">
        <v>0.0019625007447717532</v>
      </c>
    </row>
    <row r="5" spans="1:5" ht="15" customHeight="1">
      <c r="A5" s="5" t="s">
        <v>15</v>
      </c>
      <c r="B5" s="5" t="s">
        <v>243</v>
      </c>
      <c r="C5" s="5" t="s">
        <v>244</v>
      </c>
      <c r="D5" s="5">
        <v>0.002088847715746048</v>
      </c>
      <c r="E5" s="5">
        <v>0.002105964400361</v>
      </c>
    </row>
    <row r="6" spans="1:5" ht="15" customHeight="1">
      <c r="A6" s="5" t="s">
        <v>18</v>
      </c>
      <c r="B6" s="5" t="s">
        <v>245</v>
      </c>
      <c r="C6" s="5" t="s">
        <v>246</v>
      </c>
      <c r="D6" s="5">
        <v>0.0005677090070960285</v>
      </c>
      <c r="E6" s="5">
        <v>0.0005723537206739807</v>
      </c>
    </row>
    <row r="7" spans="1:5" ht="15" customHeight="1">
      <c r="A7" s="5" t="s">
        <v>21</v>
      </c>
      <c r="B7" s="5" t="s">
        <v>247</v>
      </c>
      <c r="C7" s="5" t="s">
        <v>248</v>
      </c>
      <c r="D7" s="5">
        <v>0</v>
      </c>
      <c r="E7" s="5">
        <v>0</v>
      </c>
    </row>
    <row r="8" spans="1:5" ht="15" customHeight="1">
      <c r="A8" s="5" t="s">
        <v>24</v>
      </c>
      <c r="B8" s="5" t="s">
        <v>249</v>
      </c>
      <c r="C8" s="5" t="s">
        <v>250</v>
      </c>
      <c r="D8" s="5">
        <v>0</v>
      </c>
      <c r="E8" s="5">
        <v>0</v>
      </c>
    </row>
    <row r="9" spans="1:5" ht="15" customHeight="1">
      <c r="A9" s="5" t="s">
        <v>27</v>
      </c>
      <c r="B9" s="5" t="s">
        <v>251</v>
      </c>
      <c r="C9" s="5" t="s">
        <v>252</v>
      </c>
      <c r="D9" s="5">
        <v>0.0009114971850528209</v>
      </c>
      <c r="E9" s="5">
        <v>0.000918966283793891</v>
      </c>
    </row>
    <row r="10" spans="1:5" ht="15" customHeight="1">
      <c r="A10" s="5" t="s">
        <v>30</v>
      </c>
      <c r="B10" s="5" t="s">
        <v>253</v>
      </c>
      <c r="C10" s="5" t="s">
        <v>254</v>
      </c>
      <c r="D10" s="5">
        <v>0.014442272218191016</v>
      </c>
      <c r="E10" s="5">
        <v>0.014128546809703197</v>
      </c>
    </row>
    <row r="11" spans="1:5" ht="15" customHeight="1">
      <c r="A11" s="5" t="s">
        <v>33</v>
      </c>
      <c r="B11" s="5" t="s">
        <v>255</v>
      </c>
      <c r="C11" s="5" t="s">
        <v>256</v>
      </c>
      <c r="D11" s="5">
        <v>1.627723578977048</v>
      </c>
      <c r="E11" s="5">
        <v>1.0751495814587</v>
      </c>
    </row>
    <row r="12" spans="1:5" ht="15" customHeight="1">
      <c r="A12" s="5" t="s">
        <v>36</v>
      </c>
      <c r="B12" s="5" t="s">
        <v>257</v>
      </c>
      <c r="C12" s="5" t="s">
        <v>250</v>
      </c>
      <c r="D12" s="5"/>
      <c r="E12" s="5"/>
    </row>
    <row r="13" spans="1:5" ht="15" customHeight="1">
      <c r="A13" s="8" t="s">
        <v>97</v>
      </c>
      <c r="B13" s="8" t="s">
        <v>258</v>
      </c>
      <c r="C13" s="8" t="s">
        <v>259</v>
      </c>
      <c r="D13" s="8"/>
      <c r="E13" s="8"/>
    </row>
    <row r="14" spans="1:5" ht="15" customHeight="1">
      <c r="A14" s="5" t="s">
        <v>9</v>
      </c>
      <c r="B14" s="5" t="s">
        <v>260</v>
      </c>
      <c r="C14" s="5" t="s">
        <v>261</v>
      </c>
      <c r="D14" s="5">
        <v>132517710200</v>
      </c>
      <c r="E14" s="5">
        <v>131231943900</v>
      </c>
    </row>
    <row r="15" spans="1:5" ht="15" customHeight="1">
      <c r="A15" s="5"/>
      <c r="B15" s="5" t="s">
        <v>262</v>
      </c>
      <c r="C15" s="5" t="s">
        <v>263</v>
      </c>
      <c r="D15" s="5">
        <v>132517710200</v>
      </c>
      <c r="E15" s="5">
        <v>131231943900</v>
      </c>
    </row>
    <row r="16" spans="1:5" ht="15" customHeight="1">
      <c r="A16" s="5"/>
      <c r="B16" s="5" t="s">
        <v>264</v>
      </c>
      <c r="C16" s="5" t="s">
        <v>265</v>
      </c>
      <c r="D16" s="5">
        <v>13251771.02</v>
      </c>
      <c r="E16" s="5">
        <v>13123194.39</v>
      </c>
    </row>
    <row r="17" spans="1:5" ht="15" customHeight="1">
      <c r="A17" s="5" t="s">
        <v>12</v>
      </c>
      <c r="B17" s="5" t="s">
        <v>266</v>
      </c>
      <c r="C17" s="5" t="s">
        <v>267</v>
      </c>
      <c r="D17" s="5">
        <v>356546000</v>
      </c>
      <c r="E17" s="5">
        <v>1285766300</v>
      </c>
    </row>
    <row r="18" spans="1:5" ht="15" customHeight="1">
      <c r="A18" s="5"/>
      <c r="B18" s="5" t="s">
        <v>268</v>
      </c>
      <c r="C18" s="5" t="s">
        <v>269</v>
      </c>
      <c r="D18" s="5">
        <v>132104.73</v>
      </c>
      <c r="E18" s="5">
        <v>263147.27</v>
      </c>
    </row>
    <row r="19" spans="1:5" ht="15" customHeight="1">
      <c r="A19" s="5"/>
      <c r="B19" s="5" t="s">
        <v>270</v>
      </c>
      <c r="C19" s="5" t="s">
        <v>271</v>
      </c>
      <c r="D19" s="5">
        <v>1321047300</v>
      </c>
      <c r="E19" s="5">
        <v>2631472700</v>
      </c>
    </row>
    <row r="20" spans="1:5" ht="15" customHeight="1">
      <c r="A20" s="5"/>
      <c r="B20" s="5" t="s">
        <v>272</v>
      </c>
      <c r="C20" s="5" t="s">
        <v>273</v>
      </c>
      <c r="D20" s="5">
        <v>-96450.13</v>
      </c>
      <c r="E20" s="5">
        <v>-134570.64</v>
      </c>
    </row>
    <row r="21" spans="1:5" ht="15" customHeight="1">
      <c r="A21" s="5"/>
      <c r="B21" s="5" t="s">
        <v>274</v>
      </c>
      <c r="C21" s="5" t="s">
        <v>275</v>
      </c>
      <c r="D21" s="5">
        <v>-964501300</v>
      </c>
      <c r="E21" s="5">
        <v>-1345706400</v>
      </c>
    </row>
    <row r="22" spans="1:5" ht="15" customHeight="1">
      <c r="A22" s="5" t="s">
        <v>15</v>
      </c>
      <c r="B22" s="5" t="s">
        <v>276</v>
      </c>
      <c r="C22" s="5" t="s">
        <v>277</v>
      </c>
      <c r="D22" s="5">
        <v>132874256200</v>
      </c>
      <c r="E22" s="5">
        <v>132517710200</v>
      </c>
    </row>
    <row r="23" spans="1:5" ht="15" customHeight="1">
      <c r="A23" s="5"/>
      <c r="B23" s="5" t="s">
        <v>278</v>
      </c>
      <c r="C23" s="5" t="s">
        <v>279</v>
      </c>
      <c r="D23" s="5">
        <v>132874256200</v>
      </c>
      <c r="E23" s="5">
        <v>132517710200</v>
      </c>
    </row>
    <row r="24" spans="1:5" ht="15" customHeight="1">
      <c r="A24" s="5"/>
      <c r="B24" s="5" t="s">
        <v>280</v>
      </c>
      <c r="C24" s="5" t="s">
        <v>281</v>
      </c>
      <c r="D24" s="5">
        <v>13287425.62</v>
      </c>
      <c r="E24" s="5">
        <v>13251771.02</v>
      </c>
    </row>
    <row r="25" spans="1:5" ht="15" customHeight="1">
      <c r="A25" s="5" t="s">
        <v>18</v>
      </c>
      <c r="B25" s="5" t="s">
        <v>282</v>
      </c>
      <c r="C25" s="5" t="s">
        <v>283</v>
      </c>
      <c r="D25" s="14">
        <v>0.6035</v>
      </c>
      <c r="E25" s="5">
        <v>0.60513</v>
      </c>
    </row>
    <row r="26" spans="1:5" ht="15" customHeight="1">
      <c r="A26" s="5" t="s">
        <v>21</v>
      </c>
      <c r="B26" s="5" t="s">
        <v>284</v>
      </c>
      <c r="C26" s="5" t="s">
        <v>285</v>
      </c>
      <c r="D26" s="5">
        <v>0.9216</v>
      </c>
      <c r="E26" s="5">
        <v>0.9255</v>
      </c>
    </row>
    <row r="27" spans="1:5" ht="15" customHeight="1">
      <c r="A27" s="5" t="s">
        <v>24</v>
      </c>
      <c r="B27" s="5" t="s">
        <v>286</v>
      </c>
      <c r="C27" s="5" t="s">
        <v>287</v>
      </c>
      <c r="D27" s="14">
        <v>0.0026</v>
      </c>
      <c r="E27" s="14">
        <v>0.0026</v>
      </c>
    </row>
    <row r="28" spans="1:5" ht="15" customHeight="1">
      <c r="A28" s="5" t="s">
        <v>27</v>
      </c>
      <c r="B28" s="5" t="s">
        <v>288</v>
      </c>
      <c r="C28" s="5" t="s">
        <v>289</v>
      </c>
      <c r="D28" s="14">
        <v>2224</v>
      </c>
      <c r="E28" s="14">
        <v>2093</v>
      </c>
    </row>
    <row r="29" spans="1:5" ht="15" customHeight="1">
      <c r="A29" s="5" t="s">
        <v>30</v>
      </c>
      <c r="B29" s="5" t="s">
        <v>290</v>
      </c>
      <c r="C29" s="5" t="s">
        <v>291</v>
      </c>
      <c r="D29" s="5">
        <v>11716</v>
      </c>
      <c r="E29" s="5">
        <v>11662.78</v>
      </c>
    </row>
    <row r="30" spans="1:5" ht="15" customHeight="1">
      <c r="A30" s="5" t="s">
        <v>33</v>
      </c>
      <c r="B30" s="5" t="s">
        <v>292</v>
      </c>
      <c r="C30" s="5" t="s">
        <v>293</v>
      </c>
      <c r="D30" s="5"/>
      <c r="E30" s="5"/>
    </row>
    <row r="31" spans="1:5" ht="15" customHeight="1">
      <c r="A31" s="9" t="s">
        <v>294</v>
      </c>
      <c r="B31" s="9" t="s">
        <v>294</v>
      </c>
      <c r="C31" s="9" t="s">
        <v>294</v>
      </c>
      <c r="D31" s="9" t="s">
        <v>294</v>
      </c>
      <c r="E31" s="9" t="s">
        <v>294</v>
      </c>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21" t="s">
        <v>6</v>
      </c>
      <c r="B1" s="21" t="s">
        <v>295</v>
      </c>
      <c r="C1" s="21" t="s">
        <v>296</v>
      </c>
      <c r="D1" s="21" t="s">
        <v>297</v>
      </c>
      <c r="E1" s="21"/>
      <c r="F1" s="21"/>
    </row>
    <row r="2" spans="1:6" ht="15" customHeight="1">
      <c r="A2" s="21"/>
      <c r="B2" s="21"/>
      <c r="C2" s="21"/>
      <c r="D2" s="7" t="s">
        <v>298</v>
      </c>
      <c r="E2" s="7" t="s">
        <v>299</v>
      </c>
      <c r="F2" s="7" t="s">
        <v>300</v>
      </c>
    </row>
    <row r="3" spans="1:6" ht="15" customHeight="1">
      <c r="A3" s="8" t="s">
        <v>59</v>
      </c>
      <c r="B3" s="8" t="s">
        <v>301</v>
      </c>
      <c r="C3" s="8"/>
      <c r="D3" s="8"/>
      <c r="E3" s="8"/>
      <c r="F3" s="8"/>
    </row>
    <row r="4" spans="1:6" ht="15" customHeight="1">
      <c r="A4" s="5" t="s">
        <v>67</v>
      </c>
      <c r="B4" s="5" t="s">
        <v>67</v>
      </c>
      <c r="C4" s="5" t="s">
        <v>67</v>
      </c>
      <c r="D4" s="5" t="s">
        <v>67</v>
      </c>
      <c r="E4" s="5" t="s">
        <v>67</v>
      </c>
      <c r="F4" s="5" t="s">
        <v>67</v>
      </c>
    </row>
    <row r="5" spans="1:6" ht="15" customHeight="1">
      <c r="A5" s="5"/>
      <c r="B5" s="5"/>
      <c r="C5" s="5" t="s">
        <v>1</v>
      </c>
      <c r="D5" s="5" t="s">
        <v>1</v>
      </c>
      <c r="E5" s="5" t="s">
        <v>1</v>
      </c>
      <c r="F5" s="5" t="s">
        <v>1</v>
      </c>
    </row>
    <row r="6" spans="1:6" ht="15" customHeight="1">
      <c r="A6" s="8" t="s">
        <v>97</v>
      </c>
      <c r="B6" s="8" t="s">
        <v>302</v>
      </c>
      <c r="C6" s="8"/>
      <c r="D6" s="8"/>
      <c r="E6" s="8"/>
      <c r="F6" s="8"/>
    </row>
    <row r="7" spans="1:6" ht="15" customHeight="1">
      <c r="A7" s="5" t="s">
        <v>67</v>
      </c>
      <c r="B7" s="5" t="s">
        <v>67</v>
      </c>
      <c r="C7" s="5" t="s">
        <v>67</v>
      </c>
      <c r="D7" s="5" t="s">
        <v>67</v>
      </c>
      <c r="E7" s="5" t="s">
        <v>67</v>
      </c>
      <c r="F7" s="5" t="s">
        <v>67</v>
      </c>
    </row>
    <row r="8" spans="1:6" ht="15" customHeight="1">
      <c r="A8" s="5"/>
      <c r="B8" s="5"/>
      <c r="C8" s="5" t="s">
        <v>1</v>
      </c>
      <c r="D8" s="5" t="s">
        <v>1</v>
      </c>
      <c r="E8" s="5" t="s">
        <v>1</v>
      </c>
      <c r="F8" s="5" t="s">
        <v>1</v>
      </c>
    </row>
    <row r="9" spans="1:6" ht="15" customHeight="1">
      <c r="A9" s="8" t="s">
        <v>145</v>
      </c>
      <c r="B9" s="8" t="s">
        <v>303</v>
      </c>
      <c r="C9" s="8"/>
      <c r="D9" s="8"/>
      <c r="E9" s="8"/>
      <c r="F9" s="8"/>
    </row>
    <row r="10" spans="1:6" ht="15" customHeight="1">
      <c r="A10" s="5" t="s">
        <v>67</v>
      </c>
      <c r="B10" s="5" t="s">
        <v>67</v>
      </c>
      <c r="C10" s="5" t="s">
        <v>67</v>
      </c>
      <c r="D10" s="5" t="s">
        <v>67</v>
      </c>
      <c r="E10" s="5" t="s">
        <v>67</v>
      </c>
      <c r="F10" s="5" t="s">
        <v>67</v>
      </c>
    </row>
    <row r="11" spans="1:6" ht="15" customHeight="1">
      <c r="A11" s="5"/>
      <c r="B11" s="5"/>
      <c r="C11" s="5" t="s">
        <v>1</v>
      </c>
      <c r="D11" s="5" t="s">
        <v>1</v>
      </c>
      <c r="E11" s="5" t="s">
        <v>1</v>
      </c>
      <c r="F11" s="5" t="s">
        <v>1</v>
      </c>
    </row>
    <row r="12" spans="1:6" ht="15" customHeight="1">
      <c r="A12" s="8" t="s">
        <v>148</v>
      </c>
      <c r="B12" s="8" t="s">
        <v>304</v>
      </c>
      <c r="C12" s="8"/>
      <c r="D12" s="8"/>
      <c r="E12" s="8"/>
      <c r="F12" s="8"/>
    </row>
    <row r="13" spans="1:6" ht="15" customHeight="1">
      <c r="A13" s="5" t="s">
        <v>67</v>
      </c>
      <c r="B13" s="5" t="s">
        <v>67</v>
      </c>
      <c r="C13" s="5" t="s">
        <v>67</v>
      </c>
      <c r="D13" s="5" t="s">
        <v>67</v>
      </c>
      <c r="E13" s="5" t="s">
        <v>67</v>
      </c>
      <c r="F13" s="5" t="s">
        <v>67</v>
      </c>
    </row>
    <row r="14" spans="1:6" ht="15" customHeight="1">
      <c r="A14" s="5" t="s">
        <v>1</v>
      </c>
      <c r="B14" s="5" t="s">
        <v>1</v>
      </c>
      <c r="C14" s="5" t="s">
        <v>1</v>
      </c>
      <c r="D14" s="5" t="s">
        <v>1</v>
      </c>
      <c r="E14" s="5" t="s">
        <v>1</v>
      </c>
      <c r="F14" s="5" t="s">
        <v>1</v>
      </c>
    </row>
    <row r="15" spans="1:6" ht="15" customHeight="1">
      <c r="A15" s="8" t="s">
        <v>155</v>
      </c>
      <c r="B15" s="8" t="s">
        <v>305</v>
      </c>
      <c r="C15" s="8"/>
      <c r="D15" s="8"/>
      <c r="E15" s="8"/>
      <c r="F15" s="8"/>
    </row>
    <row r="16" spans="1:6" ht="15" customHeight="1">
      <c r="A16" s="5" t="s">
        <v>67</v>
      </c>
      <c r="B16" s="5" t="s">
        <v>67</v>
      </c>
      <c r="C16" s="5" t="s">
        <v>67</v>
      </c>
      <c r="D16" s="5" t="s">
        <v>67</v>
      </c>
      <c r="E16" s="5" t="s">
        <v>67</v>
      </c>
      <c r="F16" s="5" t="s">
        <v>67</v>
      </c>
    </row>
    <row r="17" spans="1:6" ht="15" customHeight="1">
      <c r="A17" s="5" t="s">
        <v>1</v>
      </c>
      <c r="B17" s="5" t="s">
        <v>1</v>
      </c>
      <c r="C17" s="5" t="s">
        <v>1</v>
      </c>
      <c r="D17" s="5" t="s">
        <v>1</v>
      </c>
      <c r="E17" s="5" t="s">
        <v>1</v>
      </c>
      <c r="F17" s="5" t="s">
        <v>1</v>
      </c>
    </row>
    <row r="18" spans="1:6" ht="15" customHeight="1">
      <c r="A18" s="8" t="s">
        <v>148</v>
      </c>
      <c r="B18" s="8" t="s">
        <v>306</v>
      </c>
      <c r="C18" s="8"/>
      <c r="D18" s="8"/>
      <c r="E18" s="8"/>
      <c r="F18" s="8"/>
    </row>
    <row r="19" spans="1:6" ht="15" customHeight="1">
      <c r="A19" s="5" t="s">
        <v>67</v>
      </c>
      <c r="B19" s="5" t="s">
        <v>67</v>
      </c>
      <c r="C19" s="5" t="s">
        <v>67</v>
      </c>
      <c r="D19" s="5" t="s">
        <v>67</v>
      </c>
      <c r="E19" s="5" t="s">
        <v>67</v>
      </c>
      <c r="F19" s="5" t="s">
        <v>67</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00390625" style="0" customWidth="1"/>
    <col min="4" max="4" width="20.7109375" style="0" customWidth="1"/>
  </cols>
  <sheetData>
    <row r="1" spans="1:4" ht="15" customHeight="1">
      <c r="A1" s="21" t="s">
        <v>6</v>
      </c>
      <c r="B1" s="21" t="s">
        <v>118</v>
      </c>
      <c r="C1" s="21" t="s">
        <v>307</v>
      </c>
      <c r="D1" s="21"/>
    </row>
    <row r="2" spans="1:4" ht="15" customHeight="1">
      <c r="A2" s="21"/>
      <c r="B2" s="21"/>
      <c r="C2" s="7" t="s">
        <v>308</v>
      </c>
      <c r="D2" s="7" t="s">
        <v>309</v>
      </c>
    </row>
    <row r="3" spans="1:4" ht="15" customHeight="1">
      <c r="A3" s="5" t="s">
        <v>9</v>
      </c>
      <c r="B3" s="5" t="s">
        <v>310</v>
      </c>
      <c r="C3" s="5" t="s">
        <v>1</v>
      </c>
      <c r="D3" s="5" t="s">
        <v>1</v>
      </c>
    </row>
    <row r="4" spans="1:4" ht="15" customHeight="1">
      <c r="A4" s="5" t="s">
        <v>67</v>
      </c>
      <c r="B4" s="5" t="s">
        <v>67</v>
      </c>
      <c r="C4" s="5" t="s">
        <v>67</v>
      </c>
      <c r="D4" s="5" t="s">
        <v>67</v>
      </c>
    </row>
    <row r="5" spans="1:4" ht="15" customHeight="1">
      <c r="A5" s="5"/>
      <c r="B5" s="5"/>
      <c r="C5" s="5" t="s">
        <v>1</v>
      </c>
      <c r="D5" s="5" t="s">
        <v>1</v>
      </c>
    </row>
    <row r="6" spans="1:4" ht="15" customHeight="1">
      <c r="A6" s="5" t="s">
        <v>97</v>
      </c>
      <c r="B6" s="5" t="s">
        <v>311</v>
      </c>
      <c r="C6" s="5" t="s">
        <v>1</v>
      </c>
      <c r="D6" s="5" t="s">
        <v>1</v>
      </c>
    </row>
    <row r="7" spans="1:4" ht="15" customHeight="1">
      <c r="A7" s="5" t="s">
        <v>67</v>
      </c>
      <c r="B7" s="5" t="s">
        <v>67</v>
      </c>
      <c r="C7" s="5" t="s">
        <v>67</v>
      </c>
      <c r="D7" s="5" t="s">
        <v>67</v>
      </c>
    </row>
    <row r="8" spans="1:4" ht="15" customHeight="1">
      <c r="A8" s="5"/>
      <c r="B8" s="5"/>
      <c r="C8" s="5" t="s">
        <v>1</v>
      </c>
      <c r="D8" s="5" t="s">
        <v>1</v>
      </c>
    </row>
    <row r="9" spans="1:4" ht="15" customHeight="1">
      <c r="A9" s="5" t="s">
        <v>145</v>
      </c>
      <c r="B9" s="5" t="s">
        <v>312</v>
      </c>
      <c r="C9" s="5" t="s">
        <v>1</v>
      </c>
      <c r="D9" s="5" t="s">
        <v>1</v>
      </c>
    </row>
    <row r="10" spans="1:4" ht="15" customHeight="1">
      <c r="A10" s="5" t="s">
        <v>67</v>
      </c>
      <c r="B10" s="5" t="s">
        <v>67</v>
      </c>
      <c r="C10" s="5" t="s">
        <v>67</v>
      </c>
      <c r="D10" s="5" t="s">
        <v>67</v>
      </c>
    </row>
    <row r="11" spans="1:4" ht="15" customHeight="1">
      <c r="A11" s="5"/>
      <c r="B11" s="5"/>
      <c r="C11" s="5" t="s">
        <v>1</v>
      </c>
      <c r="D11" s="5" t="s">
        <v>1</v>
      </c>
    </row>
    <row r="12" spans="1:4" ht="15" customHeight="1">
      <c r="A12" s="5" t="s">
        <v>148</v>
      </c>
      <c r="B12" s="5" t="s">
        <v>313</v>
      </c>
      <c r="C12" s="5" t="s">
        <v>1</v>
      </c>
      <c r="D12" s="5" t="s">
        <v>1</v>
      </c>
    </row>
    <row r="13" spans="1:4" ht="15" customHeight="1">
      <c r="A13" s="5" t="s">
        <v>67</v>
      </c>
      <c r="B13" s="5" t="s">
        <v>67</v>
      </c>
      <c r="C13" s="5" t="s">
        <v>67</v>
      </c>
      <c r="D13" s="5" t="s">
        <v>67</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A2"/>
    </sheetView>
  </sheetViews>
  <sheetFormatPr defaultColWidth="9.140625" defaultRowHeight="12.75"/>
  <cols>
    <col min="1" max="1" width="6.8515625" style="0" customWidth="1"/>
    <col min="2" max="2" width="29.7109375" style="0" customWidth="1"/>
    <col min="3" max="7" width="14.140625" style="0" customWidth="1"/>
  </cols>
  <sheetData>
    <row r="1" spans="1:7" ht="15" customHeight="1">
      <c r="A1" s="21" t="s">
        <v>6</v>
      </c>
      <c r="B1" s="21" t="s">
        <v>60</v>
      </c>
      <c r="C1" s="21" t="s">
        <v>236</v>
      </c>
      <c r="D1" s="21"/>
      <c r="E1" s="21" t="s">
        <v>237</v>
      </c>
      <c r="F1" s="21"/>
      <c r="G1" s="21" t="s">
        <v>58</v>
      </c>
    </row>
    <row r="2" spans="1:7" ht="15" customHeight="1">
      <c r="A2" s="21"/>
      <c r="B2" s="21"/>
      <c r="C2" s="7" t="s">
        <v>308</v>
      </c>
      <c r="D2" s="7" t="s">
        <v>314</v>
      </c>
      <c r="E2" s="7" t="s">
        <v>308</v>
      </c>
      <c r="F2" s="7" t="s">
        <v>314</v>
      </c>
      <c r="G2" s="21"/>
    </row>
    <row r="3" spans="1:7" ht="15" customHeight="1">
      <c r="A3" s="8" t="s">
        <v>62</v>
      </c>
      <c r="B3" s="8" t="s">
        <v>63</v>
      </c>
      <c r="C3" s="8" t="s">
        <v>1</v>
      </c>
      <c r="D3" s="8" t="s">
        <v>1</v>
      </c>
      <c r="E3" s="8" t="s">
        <v>1</v>
      </c>
      <c r="F3" s="8" t="s">
        <v>1</v>
      </c>
      <c r="G3" s="8" t="s">
        <v>1</v>
      </c>
    </row>
    <row r="4" spans="1:7" ht="15" customHeight="1">
      <c r="A4" s="5" t="s">
        <v>1</v>
      </c>
      <c r="B4" s="5" t="s">
        <v>315</v>
      </c>
      <c r="C4" s="5" t="s">
        <v>1</v>
      </c>
      <c r="D4" s="5" t="s">
        <v>1</v>
      </c>
      <c r="E4" s="5" t="s">
        <v>1</v>
      </c>
      <c r="F4" s="5" t="s">
        <v>1</v>
      </c>
      <c r="G4" s="5" t="s">
        <v>1</v>
      </c>
    </row>
    <row r="5" spans="1:7" ht="15" customHeight="1">
      <c r="A5" s="5" t="s">
        <v>1</v>
      </c>
      <c r="B5" s="5" t="s">
        <v>68</v>
      </c>
      <c r="C5" s="5" t="s">
        <v>1</v>
      </c>
      <c r="D5" s="5" t="s">
        <v>1</v>
      </c>
      <c r="E5" s="5" t="s">
        <v>1</v>
      </c>
      <c r="F5" s="5" t="s">
        <v>1</v>
      </c>
      <c r="G5" s="5" t="s">
        <v>1</v>
      </c>
    </row>
    <row r="6" spans="1:7" ht="15" customHeight="1">
      <c r="A6" s="5" t="s">
        <v>1</v>
      </c>
      <c r="B6" s="5" t="s">
        <v>316</v>
      </c>
      <c r="C6" s="5" t="s">
        <v>1</v>
      </c>
      <c r="D6" s="5" t="s">
        <v>1</v>
      </c>
      <c r="E6" s="5" t="s">
        <v>1</v>
      </c>
      <c r="F6" s="5" t="s">
        <v>1</v>
      </c>
      <c r="G6" s="5" t="s">
        <v>1</v>
      </c>
    </row>
    <row r="7" spans="1:7" ht="15" customHeight="1">
      <c r="A7" s="8" t="s">
        <v>70</v>
      </c>
      <c r="B7" s="8" t="s">
        <v>71</v>
      </c>
      <c r="C7" s="8" t="s">
        <v>1</v>
      </c>
      <c r="D7" s="8" t="s">
        <v>1</v>
      </c>
      <c r="E7" s="8" t="s">
        <v>1</v>
      </c>
      <c r="F7" s="8" t="s">
        <v>1</v>
      </c>
      <c r="G7" s="8" t="s">
        <v>1</v>
      </c>
    </row>
    <row r="8" spans="1:7" ht="15" customHeight="1">
      <c r="A8" s="5" t="s">
        <v>67</v>
      </c>
      <c r="B8" s="5" t="s">
        <v>67</v>
      </c>
      <c r="C8" s="5" t="s">
        <v>67</v>
      </c>
      <c r="D8" s="5" t="s">
        <v>67</v>
      </c>
      <c r="E8" s="5" t="s">
        <v>67</v>
      </c>
      <c r="F8" s="5" t="s">
        <v>67</v>
      </c>
      <c r="G8" s="5" t="s">
        <v>67</v>
      </c>
    </row>
    <row r="9" spans="1:7" ht="15" customHeight="1">
      <c r="A9" s="8" t="s">
        <v>73</v>
      </c>
      <c r="B9" s="8" t="s">
        <v>77</v>
      </c>
      <c r="C9" s="8" t="s">
        <v>1</v>
      </c>
      <c r="D9" s="8" t="s">
        <v>1</v>
      </c>
      <c r="E9" s="8" t="s">
        <v>1</v>
      </c>
      <c r="F9" s="8" t="s">
        <v>1</v>
      </c>
      <c r="G9" s="8" t="s">
        <v>1</v>
      </c>
    </row>
    <row r="10" spans="1:7" ht="15" customHeight="1">
      <c r="A10" s="5" t="s">
        <v>67</v>
      </c>
      <c r="B10" s="5" t="s">
        <v>67</v>
      </c>
      <c r="C10" s="5" t="s">
        <v>67</v>
      </c>
      <c r="D10" s="5" t="s">
        <v>67</v>
      </c>
      <c r="E10" s="5" t="s">
        <v>67</v>
      </c>
      <c r="F10" s="5" t="s">
        <v>67</v>
      </c>
      <c r="G10" s="5" t="s">
        <v>67</v>
      </c>
    </row>
    <row r="11" spans="1:7" ht="15" customHeight="1">
      <c r="A11" s="8" t="s">
        <v>76</v>
      </c>
      <c r="B11" s="8" t="s">
        <v>80</v>
      </c>
      <c r="C11" s="8" t="s">
        <v>1</v>
      </c>
      <c r="D11" s="8" t="s">
        <v>1</v>
      </c>
      <c r="E11" s="8" t="s">
        <v>1</v>
      </c>
      <c r="F11" s="8" t="s">
        <v>1</v>
      </c>
      <c r="G11" s="8" t="s">
        <v>1</v>
      </c>
    </row>
    <row r="12" spans="1:7" ht="15" customHeight="1">
      <c r="A12" s="5" t="s">
        <v>67</v>
      </c>
      <c r="B12" s="5" t="s">
        <v>67</v>
      </c>
      <c r="C12" s="5" t="s">
        <v>67</v>
      </c>
      <c r="D12" s="5" t="s">
        <v>67</v>
      </c>
      <c r="E12" s="5" t="s">
        <v>67</v>
      </c>
      <c r="F12" s="5" t="s">
        <v>67</v>
      </c>
      <c r="G12" s="5" t="s">
        <v>67</v>
      </c>
    </row>
    <row r="13" spans="1:7" ht="15" customHeight="1">
      <c r="A13" s="8" t="s">
        <v>79</v>
      </c>
      <c r="B13" s="8" t="s">
        <v>86</v>
      </c>
      <c r="C13" s="8" t="s">
        <v>1</v>
      </c>
      <c r="D13" s="8" t="s">
        <v>1</v>
      </c>
      <c r="E13" s="8" t="s">
        <v>1</v>
      </c>
      <c r="F13" s="8" t="s">
        <v>1</v>
      </c>
      <c r="G13" s="8" t="s">
        <v>1</v>
      </c>
    </row>
    <row r="14" spans="1:7" ht="15" customHeight="1">
      <c r="A14" s="5" t="s">
        <v>67</v>
      </c>
      <c r="B14" s="5" t="s">
        <v>67</v>
      </c>
      <c r="C14" s="5" t="s">
        <v>67</v>
      </c>
      <c r="D14" s="5" t="s">
        <v>67</v>
      </c>
      <c r="E14" s="5" t="s">
        <v>67</v>
      </c>
      <c r="F14" s="5" t="s">
        <v>67</v>
      </c>
      <c r="G14" s="5" t="s">
        <v>67</v>
      </c>
    </row>
    <row r="15" spans="1:7" ht="15" customHeight="1">
      <c r="A15" s="8" t="s">
        <v>82</v>
      </c>
      <c r="B15" s="8" t="s">
        <v>89</v>
      </c>
      <c r="C15" s="8" t="s">
        <v>1</v>
      </c>
      <c r="D15" s="8" t="s">
        <v>1</v>
      </c>
      <c r="E15" s="8" t="s">
        <v>1</v>
      </c>
      <c r="F15" s="8" t="s">
        <v>1</v>
      </c>
      <c r="G15" s="8" t="s">
        <v>1</v>
      </c>
    </row>
    <row r="16" spans="1:7" ht="15" customHeight="1">
      <c r="A16" s="5" t="s">
        <v>67</v>
      </c>
      <c r="B16" s="5" t="s">
        <v>67</v>
      </c>
      <c r="C16" s="5" t="s">
        <v>67</v>
      </c>
      <c r="D16" s="5" t="s">
        <v>67</v>
      </c>
      <c r="E16" s="5" t="s">
        <v>67</v>
      </c>
      <c r="F16" s="5" t="s">
        <v>67</v>
      </c>
      <c r="G16" s="5" t="s">
        <v>67</v>
      </c>
    </row>
    <row r="17" spans="1:7" ht="15" customHeight="1">
      <c r="A17" s="8" t="s">
        <v>85</v>
      </c>
      <c r="B17" s="8" t="s">
        <v>92</v>
      </c>
      <c r="C17" s="8" t="s">
        <v>1</v>
      </c>
      <c r="D17" s="8" t="s">
        <v>1</v>
      </c>
      <c r="E17" s="8" t="s">
        <v>1</v>
      </c>
      <c r="F17" s="8" t="s">
        <v>1</v>
      </c>
      <c r="G17" s="8" t="s">
        <v>1</v>
      </c>
    </row>
    <row r="18" spans="1:7" ht="15" customHeight="1">
      <c r="A18" s="5" t="s">
        <v>67</v>
      </c>
      <c r="B18" s="5" t="s">
        <v>67</v>
      </c>
      <c r="C18" s="5" t="s">
        <v>67</v>
      </c>
      <c r="D18" s="5" t="s">
        <v>67</v>
      </c>
      <c r="E18" s="5" t="s">
        <v>67</v>
      </c>
      <c r="F18" s="5" t="s">
        <v>67</v>
      </c>
      <c r="G18" s="5" t="s">
        <v>67</v>
      </c>
    </row>
    <row r="19" spans="1:7" ht="15" customHeight="1">
      <c r="A19" s="8" t="s">
        <v>88</v>
      </c>
      <c r="B19" s="8" t="s">
        <v>95</v>
      </c>
      <c r="C19" s="8" t="s">
        <v>1</v>
      </c>
      <c r="D19" s="8" t="s">
        <v>1</v>
      </c>
      <c r="E19" s="8" t="s">
        <v>1</v>
      </c>
      <c r="F19" s="8" t="s">
        <v>1</v>
      </c>
      <c r="G19" s="8" t="s">
        <v>1</v>
      </c>
    </row>
    <row r="20" spans="1:7" ht="15" customHeight="1">
      <c r="A20" s="5" t="s">
        <v>1</v>
      </c>
      <c r="B20" s="5" t="s">
        <v>98</v>
      </c>
      <c r="C20" s="5" t="s">
        <v>1</v>
      </c>
      <c r="D20" s="5" t="s">
        <v>1</v>
      </c>
      <c r="E20" s="5" t="s">
        <v>1</v>
      </c>
      <c r="F20" s="5" t="s">
        <v>1</v>
      </c>
      <c r="G20" s="5" t="s">
        <v>1</v>
      </c>
    </row>
    <row r="21" spans="1:7" ht="15" customHeight="1">
      <c r="A21" s="8" t="s">
        <v>100</v>
      </c>
      <c r="B21" s="8" t="s">
        <v>104</v>
      </c>
      <c r="C21" s="8" t="s">
        <v>1</v>
      </c>
      <c r="D21" s="8" t="s">
        <v>1</v>
      </c>
      <c r="E21" s="8" t="s">
        <v>1</v>
      </c>
      <c r="F21" s="8" t="s">
        <v>1</v>
      </c>
      <c r="G21" s="8" t="s">
        <v>1</v>
      </c>
    </row>
    <row r="22" spans="1:7" ht="15" customHeight="1">
      <c r="A22" s="5" t="s">
        <v>67</v>
      </c>
      <c r="B22" s="5" t="s">
        <v>67</v>
      </c>
      <c r="C22" s="5" t="s">
        <v>67</v>
      </c>
      <c r="D22" s="5" t="s">
        <v>67</v>
      </c>
      <c r="E22" s="5" t="s">
        <v>67</v>
      </c>
      <c r="F22" s="5" t="s">
        <v>67</v>
      </c>
      <c r="G22" s="5" t="s">
        <v>67</v>
      </c>
    </row>
    <row r="23" spans="1:7" ht="15" customHeight="1">
      <c r="A23" s="8" t="s">
        <v>103</v>
      </c>
      <c r="B23" s="8" t="s">
        <v>107</v>
      </c>
      <c r="C23" s="8" t="s">
        <v>1</v>
      </c>
      <c r="D23" s="8" t="s">
        <v>1</v>
      </c>
      <c r="E23" s="8" t="s">
        <v>1</v>
      </c>
      <c r="F23" s="8" t="s">
        <v>1</v>
      </c>
      <c r="G23" s="8" t="s">
        <v>1</v>
      </c>
    </row>
    <row r="24" spans="1:7" ht="15" customHeight="1">
      <c r="A24" s="8" t="s">
        <v>106</v>
      </c>
      <c r="B24" s="8" t="s">
        <v>110</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Nickel</cp:lastModifiedBy>
  <dcterms:modified xsi:type="dcterms:W3CDTF">2022-02-11T15:17:47Z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